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codeName="ThisWorkbook" defaultThemeVersion="166925"/>
  <mc:AlternateContent xmlns:mc="http://schemas.openxmlformats.org/markup-compatibility/2006">
    <mc:Choice Requires="x15">
      <x15ac:absPath xmlns:x15ac="http://schemas.microsoft.com/office/spreadsheetml/2010/11/ac" url="/Users/a0132725/Downloads/"/>
    </mc:Choice>
  </mc:AlternateContent>
  <xr:revisionPtr revIDLastSave="0" documentId="13_ncr:1_{33CFAD52-02C3-4440-B5C3-B2A8771A145B}" xr6:coauthVersionLast="47" xr6:coauthVersionMax="47" xr10:uidLastSave="{00000000-0000-0000-0000-000000000000}"/>
  <bookViews>
    <workbookView xWindow="0" yWindow="760" windowWidth="30000" windowHeight="20400" xr2:uid="{0B51F365-3858-4D33-BD19-1FD7DB3AED4D}"/>
  </bookViews>
  <sheets>
    <sheet name="Start" sheetId="1" r:id="rId1"/>
    <sheet name="Constants" sheetId="3" r:id="rId2"/>
    <sheet name="Options" sheetId="2" r:id="rId3"/>
    <sheet name="Calculations" sheetId="4" r:id="rId4"/>
    <sheet name="Loop Gain" sheetId="6" r:id="rId5"/>
    <sheet name="Revision Log" sheetId="7" r:id="rId6"/>
    <sheet name="Important Notice and Disclaimer" sheetId="8" r:id="rId7"/>
  </sheets>
  <definedNames>
    <definedName name="atto">Constants!$B$13</definedName>
    <definedName name="BodeCa">Calculations!$C$137</definedName>
    <definedName name="BodeCb">Calculations!$C$136</definedName>
    <definedName name="BodeCTR">Calculations!$C$131</definedName>
    <definedName name="BodeD">Calculations!$C$121</definedName>
    <definedName name="BodeESR">Calculations!$C$130</definedName>
    <definedName name="BodeFsw">Calculations!$C$122</definedName>
    <definedName name="BodeGFb">Calculations!$C$128</definedName>
    <definedName name="BodeM">Calculations!$C$123</definedName>
    <definedName name="BodeN">Calculations!$C$124</definedName>
    <definedName name="BodeR">Calculations!$C$129</definedName>
    <definedName name="BodeRa">Calculations!$C$133</definedName>
    <definedName name="BodeRb">Calculations!$C$134</definedName>
    <definedName name="BodeRc3">Calculations!$C$135</definedName>
    <definedName name="BodeRFb">Calculations!$C$132</definedName>
    <definedName name="BodeSe">Calculations!$C$127</definedName>
    <definedName name="BodeSn">Calculations!$C$126</definedName>
    <definedName name="BodeTauL">Calculations!$C$125</definedName>
    <definedName name="CalcBi">Calculations!$C$107</definedName>
    <definedName name="CalcBiFromUsrBo">Calculations!$C$111</definedName>
    <definedName name="CalcBo">Calculations!$C$108</definedName>
    <definedName name="CalcBoRTop">Calculations!$C$110</definedName>
    <definedName name="CalcCoutTrans">Calculations!$C$77</definedName>
    <definedName name="CalcDutyMax">Calculations!$C$20</definedName>
    <definedName name="CalcEstPin">Calculations!$C$12</definedName>
    <definedName name="CalcIMean">Calculations!$C$42</definedName>
    <definedName name="CalcIPk">Calculations!$C$41</definedName>
    <definedName name="CalcIRms">Calculations!$C$43</definedName>
    <definedName name="CalcLm">Calculations!$C$24</definedName>
    <definedName name="CalcMosLeakLeft">Calculations!$C$19</definedName>
    <definedName name="CalcNPS">Calculations!$E$16</definedName>
    <definedName name="CalcNS">Calculations!$E$17</definedName>
    <definedName name="CalcOffRamp">Calculations!$C$54</definedName>
    <definedName name="CalcPo">Start!$D$54</definedName>
    <definedName name="CalcPout">Start!$D$54</definedName>
    <definedName name="CalcRawLm">Calculations!$C$23</definedName>
    <definedName name="CalcRCs">Calculations!$C$52</definedName>
    <definedName name="CalcRCsSlopeComp">Calculations!$C$57</definedName>
    <definedName name="CalcRecInputBulkCap">Calculations!$C$10</definedName>
    <definedName name="CalcRhpZeroDiv5">Calculations!$C$82</definedName>
    <definedName name="CalcRSlope">Calculations!$C$55</definedName>
    <definedName name="CalcRslopeFixedRcs">Calculations!$C$58</definedName>
    <definedName name="CalcRStart">Calculations!$C$91</definedName>
    <definedName name="CalcSOff">Calculations!$C$53</definedName>
    <definedName name="CalcSSVdd">Calculations!$E$20</definedName>
    <definedName name="CalcTDecayVoutOvershoot">Calculations!$C$94</definedName>
    <definedName name="CalcTsdRecoveryTemp">Calculations!$C$116</definedName>
    <definedName name="CalcTsdTemp">Calculations!$C$115</definedName>
    <definedName name="CalcTVoutRise">Calculations!$C$84</definedName>
    <definedName name="CalcUserDutyMax">Calculations!$C$31</definedName>
    <definedName name="CalcUsrDutyMax">Calculations!$C$31</definedName>
    <definedName name="CalcUsrLm">Calculations!$C$34</definedName>
    <definedName name="CalcUsrPo">Calculations!$C$11</definedName>
    <definedName name="CalcVoutOvershoot">Calculations!$C$85</definedName>
    <definedName name="CalcVoVF">Calculations!$E$15</definedName>
    <definedName name="CcmGo">Calculations!$C$140</definedName>
    <definedName name="CcmWp1">Calculations!$C$141</definedName>
    <definedName name="CcmWz1">Calculations!$C$142</definedName>
    <definedName name="CcmWz2">Calculations!$C$143</definedName>
    <definedName name="centi">Constants!#REF!</definedName>
    <definedName name="CompA">Calculations!$C$153</definedName>
    <definedName name="CompWp1">Calculations!$C$155</definedName>
    <definedName name="CompWz1">Calculations!$C$154</definedName>
    <definedName name="CompZ1">Calculations!$C$154</definedName>
    <definedName name="ConvUsrBoRBot">Calculations!$C$106</definedName>
    <definedName name="ConvUsrBoRTop">Calculations!$C$105</definedName>
    <definedName name="ConvUsrRCs">Calculations!$C$62</definedName>
    <definedName name="ConvUsrRSlope">Calculations!$C$63</definedName>
    <definedName name="CrossoverFreq">'Loop Gain'!$AD$5</definedName>
    <definedName name="CsMargin">Constants!$B$17</definedName>
    <definedName name="CsMax">Constants!$B$16</definedName>
    <definedName name="CurrConstraint">Calculations!$C$89</definedName>
    <definedName name="CurrConstraintMargin">Calculations!$C$90</definedName>
    <definedName name="DCcm">Calculations!$C$38</definedName>
    <definedName name="DcmGo">Calculations!$C$146</definedName>
    <definedName name="DcmWp1">Calculations!$C$149</definedName>
    <definedName name="DcmWp2">Calculations!$C$150</definedName>
    <definedName name="DcmWz1">Calculations!$C$147</definedName>
    <definedName name="DcmWz2">Calculations!$C$148</definedName>
    <definedName name="DDcm">Calculations!$E$38</definedName>
    <definedName name="DeviceVerSum">Options!$M$3</definedName>
    <definedName name="DutyMax">Constants!$B$36</definedName>
    <definedName name="Exa">Constants!$B$1</definedName>
    <definedName name="FaultResponse">Options!$F$3:$F$4</definedName>
    <definedName name="femto">Constants!$B$12</definedName>
    <definedName name="FltOption">Options!$D$3:$D$4</definedName>
    <definedName name="FSw">Calculations!$C$3</definedName>
    <definedName name="Giga">Constants!$B$4</definedName>
    <definedName name="IBo">Constants!$B$29</definedName>
    <definedName name="Idis">Constants!$B$26</definedName>
    <definedName name="IFault">Constants!$B$23</definedName>
    <definedName name="INtc">Constants!$B$30</definedName>
    <definedName name="IOff">Constants!$B$25</definedName>
    <definedName name="Ion">Constants!$B$24</definedName>
    <definedName name="IPk">Calculations!$C$41</definedName>
    <definedName name="IRamp">Calculations!$C$51</definedName>
    <definedName name="IsDcmBode">Calculations!$C$120</definedName>
    <definedName name="IsDcmFullLoad">Calculations!$C$39</definedName>
    <definedName name="ISlope">Constants!$B$20</definedName>
    <definedName name="IStart">Constants!$B$22</definedName>
    <definedName name="kilo">Constants!$B$6</definedName>
    <definedName name="Mega">Constants!$B$5</definedName>
    <definedName name="MesRCs">Calculations!$E$67</definedName>
    <definedName name="MesRSlope">Calculations!$E$63</definedName>
    <definedName name="micro">Constants!$B$9</definedName>
    <definedName name="milli">Constants!$B$8</definedName>
    <definedName name="MsgCrossoverFreq">'Loop Gain'!$AF$5</definedName>
    <definedName name="MsgCVDD2">Calculations!$E$97</definedName>
    <definedName name="MsgLkgLeft">Calculations!$E$43</definedName>
    <definedName name="MsgNPS">Calculations!$C$25</definedName>
    <definedName name="MsgNs">Calculations!$C$26</definedName>
    <definedName name="MsgNSA">Calculations!$C$27</definedName>
    <definedName name="MsgNSAVdd">Calculations!$F$21</definedName>
    <definedName name="MsgPhaseMargin">'Loop Gain'!$AF$6</definedName>
    <definedName name="MsgUsrRCs">Calculations!$D$65</definedName>
    <definedName name="nano">Constants!$B$10</definedName>
    <definedName name="Np">Constants!$B$38</definedName>
    <definedName name="OptBodeCap">Options!$A$24:$A$26</definedName>
    <definedName name="OptBoRTop">Options!$A$18:$A$20</definedName>
    <definedName name="OptNtc">Options!$G$18:$G$19</definedName>
    <definedName name="OptoCathodeI">Constants!$B$35</definedName>
    <definedName name="OptRCs">Options!$C$18:$C$19</definedName>
    <definedName name="OptRSlope">Options!$E$18:$E$19</definedName>
    <definedName name="Peta">Constants!$B$2</definedName>
    <definedName name="PhaseMargin">'Loop Gain'!$AD$6</definedName>
    <definedName name="pico">Constants!$B$11</definedName>
    <definedName name="PrettyBodeRa">Calculations!$E$133</definedName>
    <definedName name="PrettyBodeRb">Calculations!$E$134</definedName>
    <definedName name="PrettyBoRTop">Calculations!$E$110</definedName>
    <definedName name="PrettyIMean">Calculations!$E$48</definedName>
    <definedName name="PrettyInputBulkCap">Calculations!$E$10</definedName>
    <definedName name="PrettyIPk">Calculations!$E$47</definedName>
    <definedName name="PrettyLm">Calculations!$E$45</definedName>
    <definedName name="PrettyMosLeakLeft">Calculations!$C$44</definedName>
    <definedName name="PrettyPin">Calculations!$E$12</definedName>
    <definedName name="PrettyPo">Calculations!$E$11</definedName>
    <definedName name="PrettyRCs">Calculations!$E$68</definedName>
    <definedName name="PrettyROpto">Calculations!$E$135</definedName>
    <definedName name="PrettyRSlope">Calculations!$E$69</definedName>
    <definedName name="PrettyRStart">Calculations!$E$91</definedName>
    <definedName name="PrettyUnitBodeRa">Calculations!$F$133</definedName>
    <definedName name="PrettyUnitBodeRb">Calculations!$F$134</definedName>
    <definedName name="PrettyUnitBoRTop">Calculations!$F$110</definedName>
    <definedName name="PrettyUnitInputBulkCap">Calculations!$F$10</definedName>
    <definedName name="PrettyUnitIPk">Calculations!$F$47</definedName>
    <definedName name="PrettyUnitIRms">Calculations!$F$48</definedName>
    <definedName name="PrettyUnitLm">Calculations!$F$45</definedName>
    <definedName name="PrettyUnitPo">Calculations!$F$11</definedName>
    <definedName name="PrettyUnitRCs">Calculations!$F$68</definedName>
    <definedName name="PrettyUnitROpto">Calculations!$F$135</definedName>
    <definedName name="PrettyUnitRSlope">Calculations!$F$69</definedName>
    <definedName name="PrettyUnitRStart">Calculations!$F$91</definedName>
    <definedName name="PrettyUnitUsrLm">Calculations!$F$46</definedName>
    <definedName name="PrettyUnitUsrVCs">Calculations!$F$67</definedName>
    <definedName name="PrettyUnitVCs">Calculations!$F$70</definedName>
    <definedName name="PrettyUsrLm">Calculations!$E$46</definedName>
    <definedName name="PrettyUsrVCs">Calculations!$E$67</definedName>
    <definedName name="PrettyVCs">Calculations!$E$70</definedName>
    <definedName name="ResCout">Calculations!$E$77</definedName>
    <definedName name="ResCVDD1">Calculations!$D$92</definedName>
    <definedName name="ResLm">Calculations!$C$24</definedName>
    <definedName name="ResRCs">Calculations!#REF!</definedName>
    <definedName name="ResRSlope">Calculations!$C$60</definedName>
    <definedName name="ResRStartMin">Calculations!$D$91</definedName>
    <definedName name="ResUsrVCs">Calculations!$C$64</definedName>
    <definedName name="ResVCs">Calculations!$C$61</definedName>
    <definedName name="ResVoDiodeBlock">Calculations!$D$72</definedName>
    <definedName name="RFb">Constants!$B$32</definedName>
    <definedName name="SelBodeIntCap">Start!$E$128</definedName>
    <definedName name="SelBodeOptoCap">Start!$E$127</definedName>
    <definedName name="SelBoRBot">Start!$E$105</definedName>
    <definedName name="SelBoRTop">Start!$E$104</definedName>
    <definedName name="SelDevice">Options!$J$4</definedName>
    <definedName name="SelFLT">Start!$G$15</definedName>
    <definedName name="SelFreq">Start!$G$14</definedName>
    <definedName name="SelRCs">Start!$E$84</definedName>
    <definedName name="SelRNtc">Start!$E$114</definedName>
    <definedName name="SelRSlope">Start!$E$85</definedName>
    <definedName name="SelVinType">Start!$D$39</definedName>
    <definedName name="SwFreq">Options!$B$3:$B$4</definedName>
    <definedName name="Tera">Constants!$B$3</definedName>
    <definedName name="Tl431I">Constants!$B$34</definedName>
    <definedName name="Tl431Ref">Constants!$B$33</definedName>
    <definedName name="Tsw">Constants!$B$21</definedName>
    <definedName name="UnitBoRTop">Calculations!$F$110</definedName>
    <definedName name="UnitExpo">Constants!$D$1:$D$14</definedName>
    <definedName name="UnitSymbolExa">Constants!$C$1</definedName>
    <definedName name="UsedDutyMax">Calculations!$C$36</definedName>
    <definedName name="UsedLm">Calculations!$C$37</definedName>
    <definedName name="UsedNS">Calculations!$E$37</definedName>
    <definedName name="UsedRNtcRef">Calculations!$C$114</definedName>
    <definedName name="UsrBo">Start!$D$109</definedName>
    <definedName name="UsrBodeVin">Start!$D$123</definedName>
    <definedName name="UsrBoRBot">Start!$D$105</definedName>
    <definedName name="UsrBoRTop">Start!$D$104</definedName>
    <definedName name="UsrDutyMax">Start!$D$47</definedName>
    <definedName name="UsrEstEff">Start!$D$48</definedName>
    <definedName name="UsrIntCap">Start!$D$128</definedName>
    <definedName name="UsrIout">Start!$D$53</definedName>
    <definedName name="UsrLineFMin">Start!$D$44</definedName>
    <definedName name="UsrMaxDuty">Start!$D$47</definedName>
    <definedName name="UsrMosDerating">Start!$D$46</definedName>
    <definedName name="UsrMosVds">Start!$D$45</definedName>
    <definedName name="UsrNPS">Start!$D$70</definedName>
    <definedName name="UsrNSA">Start!$D$71</definedName>
    <definedName name="UsrOptoCTR">Start!$D$126</definedName>
    <definedName name="UsrOptoLed">Start!$D$125</definedName>
    <definedName name="UsrOptoParaCap">Start!$D$127</definedName>
    <definedName name="UsrPoCcm">Start!$D$65</definedName>
    <definedName name="UsrRCs">Start!$D$84</definedName>
    <definedName name="UsrRNtcBeta">Start!$D$116</definedName>
    <definedName name="UsrRNtcRef">Start!$D$114</definedName>
    <definedName name="UsrRNtcTref">Start!$D$115</definedName>
    <definedName name="UsrRSlope">Start!$D$85</definedName>
    <definedName name="UsrTimeTurnOn">Start!$D$95</definedName>
    <definedName name="UsrTotalESR">Start!$D$124</definedName>
    <definedName name="UsrUsingDisable">Start!$D$96</definedName>
    <definedName name="UsrVF">Start!$D$58</definedName>
    <definedName name="UsrVinMax">Start!$D$42</definedName>
    <definedName name="UsrVinMin">Start!$D$40</definedName>
    <definedName name="UsrVinMinBulk">Start!$D$41</definedName>
    <definedName name="UsrVinNom">Start!$D$43</definedName>
    <definedName name="UsrVout">Start!$D$52</definedName>
    <definedName name="UsrVoutRipple">Start!$D$57</definedName>
    <definedName name="UsrVTransDrop">Start!$D$56</definedName>
    <definedName name="VBi">Constants!$B$28</definedName>
    <definedName name="VBo">Constants!$B$27</definedName>
    <definedName name="VddOvlo">Constants!$B$37</definedName>
    <definedName name="VinMin">Start!$D$40</definedName>
    <definedName name="VinType">Options!$A$7:$A$8</definedName>
    <definedName name="VTsd">Constants!$B$31</definedName>
    <definedName name="VUvloOff">Constants!$B$19</definedName>
    <definedName name="VUvloOn">Constants!$B$18</definedName>
    <definedName name="zepto">Constants!$B$14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0" i="4" l="1"/>
  <c r="F37" i="4" l="1"/>
  <c r="E37" i="4"/>
  <c r="C27" i="4" l="1"/>
  <c r="C98" i="4"/>
  <c r="C135" i="4" l="1"/>
  <c r="J3" i="2"/>
  <c r="C134" i="4"/>
  <c r="C133" i="4"/>
  <c r="C89" i="4"/>
  <c r="C90" i="4" s="1"/>
  <c r="C91" i="4" s="1"/>
  <c r="C136" i="4" l="1"/>
  <c r="C3" i="4" l="1"/>
  <c r="C122" i="4" s="1"/>
  <c r="B21" i="3" l="1"/>
  <c r="D83" i="4" s="1"/>
  <c r="C137" i="4"/>
  <c r="C114" i="4"/>
  <c r="C63" i="4"/>
  <c r="C62" i="4"/>
  <c r="C106" i="4"/>
  <c r="C110" i="4" s="1"/>
  <c r="C105" i="4"/>
  <c r="C11" i="4"/>
  <c r="C12" i="4" s="1"/>
  <c r="D7" i="3"/>
  <c r="D6" i="3"/>
  <c r="D5" i="3"/>
  <c r="D4" i="3"/>
  <c r="D91" i="4" s="1"/>
  <c r="D11" i="3"/>
  <c r="D10" i="3"/>
  <c r="D9" i="3"/>
  <c r="D8" i="3"/>
  <c r="D12" i="4" l="1"/>
  <c r="F12" i="4" s="1"/>
  <c r="C115" i="4"/>
  <c r="C116" i="4"/>
  <c r="D119" i="1" s="1"/>
  <c r="C107" i="4"/>
  <c r="C108" i="4"/>
  <c r="C111" i="4"/>
  <c r="D11" i="4"/>
  <c r="C129" i="4"/>
  <c r="C130" i="4"/>
  <c r="C131" i="4"/>
  <c r="Z3" i="6"/>
  <c r="Z4" i="6"/>
  <c r="Z5" i="6"/>
  <c r="Z6" i="6"/>
  <c r="Z7"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2" i="6"/>
  <c r="E12" i="4" l="1"/>
  <c r="D55" i="1" s="1"/>
  <c r="F11" i="4"/>
  <c r="E54" i="1" s="1"/>
  <c r="E11" i="4"/>
  <c r="D134" i="4"/>
  <c r="D133" i="4"/>
  <c r="C132" i="4"/>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 i="6"/>
  <c r="B4" i="6"/>
  <c r="B5" i="6"/>
  <c r="B6" i="6"/>
  <c r="B7" i="6"/>
  <c r="B8" i="6"/>
  <c r="B9" i="6"/>
  <c r="B10" i="6"/>
  <c r="B11" i="6"/>
  <c r="B12" i="6"/>
  <c r="B13" i="6"/>
  <c r="B14" i="6"/>
  <c r="B15" i="6"/>
  <c r="B16" i="6"/>
  <c r="B17" i="6"/>
  <c r="B18" i="6"/>
  <c r="B19" i="6"/>
  <c r="B20" i="6"/>
  <c r="B21" i="6"/>
  <c r="B22" i="6"/>
  <c r="B23" i="6"/>
  <c r="B24" i="6"/>
  <c r="B25" i="6"/>
  <c r="B26" i="6"/>
  <c r="B2" i="6"/>
  <c r="C155" i="4" l="1"/>
  <c r="U8" i="6" s="1"/>
  <c r="E133" i="4"/>
  <c r="D129" i="1" s="1"/>
  <c r="F133" i="4"/>
  <c r="E129" i="1" s="1"/>
  <c r="E134" i="4"/>
  <c r="D130" i="1" s="1"/>
  <c r="F134" i="4"/>
  <c r="E130" i="1" s="1"/>
  <c r="D135" i="4"/>
  <c r="F135" i="4" s="1"/>
  <c r="E131" i="1" s="1"/>
  <c r="C154" i="4"/>
  <c r="T214" i="6" s="1"/>
  <c r="U159" i="6"/>
  <c r="U135" i="6"/>
  <c r="U174" i="6"/>
  <c r="U110" i="6"/>
  <c r="U335" i="6"/>
  <c r="U119" i="6"/>
  <c r="U213" i="6"/>
  <c r="U77" i="6"/>
  <c r="U61" i="6"/>
  <c r="U151" i="6"/>
  <c r="U204" i="6"/>
  <c r="U76" i="6"/>
  <c r="U28" i="6"/>
  <c r="U12" i="6"/>
  <c r="U115" i="6"/>
  <c r="U51" i="6"/>
  <c r="U378" i="6"/>
  <c r="U330" i="6"/>
  <c r="U146" i="6"/>
  <c r="U50" i="6"/>
  <c r="U42" i="6"/>
  <c r="U18" i="6"/>
  <c r="U79" i="6"/>
  <c r="C153" i="4"/>
  <c r="V64" i="6" s="1"/>
  <c r="U377" i="6"/>
  <c r="U369" i="6"/>
  <c r="U361" i="6"/>
  <c r="U329" i="6"/>
  <c r="U321" i="6"/>
  <c r="U313" i="6"/>
  <c r="U305" i="6"/>
  <c r="U297" i="6"/>
  <c r="U265" i="6"/>
  <c r="U257" i="6"/>
  <c r="U249" i="6"/>
  <c r="U241" i="6"/>
  <c r="U233" i="6"/>
  <c r="U201" i="6"/>
  <c r="U193" i="6"/>
  <c r="U185" i="6"/>
  <c r="U177" i="6"/>
  <c r="U169" i="6"/>
  <c r="U137" i="6"/>
  <c r="U129" i="6"/>
  <c r="U121" i="6"/>
  <c r="U113" i="6"/>
  <c r="U105" i="6"/>
  <c r="U97" i="6"/>
  <c r="U89" i="6"/>
  <c r="U81" i="6"/>
  <c r="U73" i="6"/>
  <c r="U65" i="6"/>
  <c r="U57" i="6"/>
  <c r="U49" i="6"/>
  <c r="U41" i="6"/>
  <c r="U33" i="6"/>
  <c r="U25" i="6"/>
  <c r="U17" i="6"/>
  <c r="U9" i="6"/>
  <c r="U327" i="6"/>
  <c r="U231" i="6"/>
  <c r="U103" i="6"/>
  <c r="U376" i="6"/>
  <c r="U368" i="6"/>
  <c r="U360" i="6"/>
  <c r="U352" i="6"/>
  <c r="U344" i="6"/>
  <c r="U336" i="6"/>
  <c r="U328" i="6"/>
  <c r="U320" i="6"/>
  <c r="U312" i="6"/>
  <c r="U304" i="6"/>
  <c r="U296" i="6"/>
  <c r="U288" i="6"/>
  <c r="U280" i="6"/>
  <c r="U272" i="6"/>
  <c r="U264" i="6"/>
  <c r="U256" i="6"/>
  <c r="U248" i="6"/>
  <c r="U240" i="6"/>
  <c r="U232" i="6"/>
  <c r="U224" i="6"/>
  <c r="U216" i="6"/>
  <c r="U208" i="6"/>
  <c r="U200" i="6"/>
  <c r="U192" i="6"/>
  <c r="U184" i="6"/>
  <c r="U176" i="6"/>
  <c r="U168" i="6"/>
  <c r="U160" i="6"/>
  <c r="U152" i="6"/>
  <c r="U144" i="6"/>
  <c r="U136" i="6"/>
  <c r="U128" i="6"/>
  <c r="U120" i="6"/>
  <c r="U112" i="6"/>
  <c r="U104" i="6"/>
  <c r="U96" i="6"/>
  <c r="U88" i="6"/>
  <c r="U80" i="6"/>
  <c r="U72" i="6"/>
  <c r="U64" i="6"/>
  <c r="U56" i="6"/>
  <c r="U48" i="6"/>
  <c r="U40" i="6"/>
  <c r="U32" i="6"/>
  <c r="U24" i="6"/>
  <c r="U16" i="6"/>
  <c r="D118" i="1"/>
  <c r="U74" i="6" l="1"/>
  <c r="U91" i="6"/>
  <c r="U164" i="6"/>
  <c r="U125" i="6"/>
  <c r="U126" i="6"/>
  <c r="U145" i="6"/>
  <c r="U209" i="6"/>
  <c r="U273" i="6"/>
  <c r="U337" i="6"/>
  <c r="U271" i="6"/>
  <c r="U178" i="6"/>
  <c r="U235" i="6"/>
  <c r="U228" i="6"/>
  <c r="U253" i="6"/>
  <c r="U262" i="6"/>
  <c r="U153" i="6"/>
  <c r="U217" i="6"/>
  <c r="U281" i="6"/>
  <c r="U345" i="6"/>
  <c r="U367" i="6"/>
  <c r="U202" i="6"/>
  <c r="U243" i="6"/>
  <c r="U348" i="6"/>
  <c r="U277" i="6"/>
  <c r="U302" i="6"/>
  <c r="U161" i="6"/>
  <c r="U225" i="6"/>
  <c r="U289" i="6"/>
  <c r="U353" i="6"/>
  <c r="U10" i="6"/>
  <c r="U314" i="6"/>
  <c r="U299" i="6"/>
  <c r="U356" i="6"/>
  <c r="U71" i="6"/>
  <c r="U326" i="6"/>
  <c r="U58" i="6"/>
  <c r="U186" i="6"/>
  <c r="U338" i="6"/>
  <c r="U107" i="6"/>
  <c r="U283" i="6"/>
  <c r="U36" i="6"/>
  <c r="U220" i="6"/>
  <c r="U95" i="6"/>
  <c r="U85" i="6"/>
  <c r="U269" i="6"/>
  <c r="U255" i="6"/>
  <c r="U134" i="6"/>
  <c r="U318" i="6"/>
  <c r="U311" i="6"/>
  <c r="U82" i="6"/>
  <c r="U210" i="6"/>
  <c r="U87" i="6"/>
  <c r="U155" i="6"/>
  <c r="U307" i="6"/>
  <c r="U92" i="6"/>
  <c r="U268" i="6"/>
  <c r="U183" i="6"/>
  <c r="U141" i="6"/>
  <c r="U317" i="6"/>
  <c r="U6" i="6"/>
  <c r="U190" i="6"/>
  <c r="U366" i="6"/>
  <c r="U114" i="6"/>
  <c r="U250" i="6"/>
  <c r="U263" i="6"/>
  <c r="U171" i="6"/>
  <c r="U347" i="6"/>
  <c r="U100" i="6"/>
  <c r="U284" i="6"/>
  <c r="U351" i="6"/>
  <c r="U149" i="6"/>
  <c r="U333" i="6"/>
  <c r="U46" i="6"/>
  <c r="U198" i="6"/>
  <c r="U2" i="6"/>
  <c r="U26" i="6"/>
  <c r="U122" i="6"/>
  <c r="U266" i="6"/>
  <c r="U27" i="6"/>
  <c r="U179" i="6"/>
  <c r="U363" i="6"/>
  <c r="U140" i="6"/>
  <c r="U292" i="6"/>
  <c r="U13" i="6"/>
  <c r="U189" i="6"/>
  <c r="U341" i="6"/>
  <c r="U62" i="6"/>
  <c r="U238" i="6"/>
  <c r="U7" i="6"/>
  <c r="U34" i="6"/>
  <c r="U138" i="6"/>
  <c r="U274" i="6"/>
  <c r="U43" i="6"/>
  <c r="U219" i="6"/>
  <c r="U371" i="6"/>
  <c r="U156" i="6"/>
  <c r="U332" i="6"/>
  <c r="U21" i="6"/>
  <c r="U205" i="6"/>
  <c r="U381" i="6"/>
  <c r="U70" i="6"/>
  <c r="U254" i="6"/>
  <c r="U63" i="6"/>
  <c r="U66" i="6"/>
  <c r="U130" i="6"/>
  <c r="U194" i="6"/>
  <c r="U258" i="6"/>
  <c r="U322" i="6"/>
  <c r="U379" i="6"/>
  <c r="U35" i="6"/>
  <c r="U99" i="6"/>
  <c r="U163" i="6"/>
  <c r="U227" i="6"/>
  <c r="U291" i="6"/>
  <c r="U355" i="6"/>
  <c r="U20" i="6"/>
  <c r="U84" i="6"/>
  <c r="U148" i="6"/>
  <c r="U212" i="6"/>
  <c r="U276" i="6"/>
  <c r="U340" i="6"/>
  <c r="U127" i="6"/>
  <c r="U5" i="6"/>
  <c r="U69" i="6"/>
  <c r="U133" i="6"/>
  <c r="U197" i="6"/>
  <c r="U261" i="6"/>
  <c r="U325" i="6"/>
  <c r="U23" i="6"/>
  <c r="U295" i="6"/>
  <c r="U54" i="6"/>
  <c r="U118" i="6"/>
  <c r="U182" i="6"/>
  <c r="U246" i="6"/>
  <c r="U310" i="6"/>
  <c r="U374" i="6"/>
  <c r="U111" i="6"/>
  <c r="U343" i="6"/>
  <c r="U90" i="6"/>
  <c r="U154" i="6"/>
  <c r="U218" i="6"/>
  <c r="U282" i="6"/>
  <c r="U346" i="6"/>
  <c r="U359" i="6"/>
  <c r="U59" i="6"/>
  <c r="U123" i="6"/>
  <c r="U187" i="6"/>
  <c r="U251" i="6"/>
  <c r="U315" i="6"/>
  <c r="U167" i="6"/>
  <c r="U44" i="6"/>
  <c r="U108" i="6"/>
  <c r="U172" i="6"/>
  <c r="U236" i="6"/>
  <c r="U300" i="6"/>
  <c r="U364" i="6"/>
  <c r="U207" i="6"/>
  <c r="U29" i="6"/>
  <c r="U93" i="6"/>
  <c r="U157" i="6"/>
  <c r="U221" i="6"/>
  <c r="U285" i="6"/>
  <c r="U349" i="6"/>
  <c r="U143" i="6"/>
  <c r="U14" i="6"/>
  <c r="U78" i="6"/>
  <c r="U142" i="6"/>
  <c r="U206" i="6"/>
  <c r="U270" i="6"/>
  <c r="U334" i="6"/>
  <c r="U31" i="6"/>
  <c r="U191" i="6"/>
  <c r="U98" i="6"/>
  <c r="U162" i="6"/>
  <c r="U226" i="6"/>
  <c r="U290" i="6"/>
  <c r="U354" i="6"/>
  <c r="U3" i="6"/>
  <c r="U67" i="6"/>
  <c r="U131" i="6"/>
  <c r="U195" i="6"/>
  <c r="U259" i="6"/>
  <c r="U323" i="6"/>
  <c r="U303" i="6"/>
  <c r="U52" i="6"/>
  <c r="U116" i="6"/>
  <c r="U180" i="6"/>
  <c r="U244" i="6"/>
  <c r="U308" i="6"/>
  <c r="U372" i="6"/>
  <c r="U239" i="6"/>
  <c r="U37" i="6"/>
  <c r="U101" i="6"/>
  <c r="U165" i="6"/>
  <c r="U229" i="6"/>
  <c r="U293" i="6"/>
  <c r="U357" i="6"/>
  <c r="U175" i="6"/>
  <c r="U22" i="6"/>
  <c r="U86" i="6"/>
  <c r="U150" i="6"/>
  <c r="U214" i="6"/>
  <c r="U278" i="6"/>
  <c r="U342" i="6"/>
  <c r="U39" i="6"/>
  <c r="U215" i="6"/>
  <c r="U106" i="6"/>
  <c r="U170" i="6"/>
  <c r="U234" i="6"/>
  <c r="U298" i="6"/>
  <c r="U362" i="6"/>
  <c r="U11" i="6"/>
  <c r="U75" i="6"/>
  <c r="U139" i="6"/>
  <c r="U203" i="6"/>
  <c r="U267" i="6"/>
  <c r="U331" i="6"/>
  <c r="U375" i="6"/>
  <c r="U60" i="6"/>
  <c r="U124" i="6"/>
  <c r="U188" i="6"/>
  <c r="U252" i="6"/>
  <c r="U316" i="6"/>
  <c r="U380" i="6"/>
  <c r="U279" i="6"/>
  <c r="U45" i="6"/>
  <c r="U109" i="6"/>
  <c r="U173" i="6"/>
  <c r="U237" i="6"/>
  <c r="U301" i="6"/>
  <c r="U365" i="6"/>
  <c r="U199" i="6"/>
  <c r="U30" i="6"/>
  <c r="U94" i="6"/>
  <c r="U158" i="6"/>
  <c r="U222" i="6"/>
  <c r="U286" i="6"/>
  <c r="U350" i="6"/>
  <c r="U47" i="6"/>
  <c r="U247" i="6"/>
  <c r="U242" i="6"/>
  <c r="U306" i="6"/>
  <c r="U370" i="6"/>
  <c r="U19" i="6"/>
  <c r="U83" i="6"/>
  <c r="U147" i="6"/>
  <c r="U211" i="6"/>
  <c r="U275" i="6"/>
  <c r="U339" i="6"/>
  <c r="U4" i="6"/>
  <c r="U68" i="6"/>
  <c r="U132" i="6"/>
  <c r="U196" i="6"/>
  <c r="U260" i="6"/>
  <c r="U324" i="6"/>
  <c r="U15" i="6"/>
  <c r="U319" i="6"/>
  <c r="U53" i="6"/>
  <c r="U117" i="6"/>
  <c r="U181" i="6"/>
  <c r="U245" i="6"/>
  <c r="U309" i="6"/>
  <c r="U373" i="6"/>
  <c r="U223" i="6"/>
  <c r="U38" i="6"/>
  <c r="U102" i="6"/>
  <c r="U166" i="6"/>
  <c r="U230" i="6"/>
  <c r="U294" i="6"/>
  <c r="U358" i="6"/>
  <c r="U55" i="6"/>
  <c r="U287" i="6"/>
  <c r="T334" i="6"/>
  <c r="T259" i="6"/>
  <c r="T260" i="6"/>
  <c r="T140" i="6"/>
  <c r="T246" i="6"/>
  <c r="T131" i="6"/>
  <c r="T167" i="6"/>
  <c r="T377" i="6"/>
  <c r="T31" i="6"/>
  <c r="T120" i="6"/>
  <c r="T269" i="6"/>
  <c r="T205" i="6"/>
  <c r="T74" i="6"/>
  <c r="T368" i="6"/>
  <c r="T310" i="6"/>
  <c r="T95" i="6"/>
  <c r="T261" i="6"/>
  <c r="T196" i="6"/>
  <c r="T203" i="6"/>
  <c r="T66" i="6"/>
  <c r="T240" i="6"/>
  <c r="T11" i="6"/>
  <c r="T254" i="6"/>
  <c r="T133" i="6"/>
  <c r="T112" i="6"/>
  <c r="T351" i="6"/>
  <c r="T134" i="6"/>
  <c r="T69" i="6"/>
  <c r="T76" i="6"/>
  <c r="T3" i="6"/>
  <c r="T193" i="6"/>
  <c r="T56" i="6"/>
  <c r="T142" i="6"/>
  <c r="T132" i="6"/>
  <c r="T321" i="6"/>
  <c r="T287" i="6"/>
  <c r="T78" i="6"/>
  <c r="T13" i="6"/>
  <c r="T4" i="6"/>
  <c r="T330" i="6"/>
  <c r="T121" i="6"/>
  <c r="T48" i="6"/>
  <c r="T231" i="6"/>
  <c r="T6" i="6"/>
  <c r="T5" i="6"/>
  <c r="T323" i="6"/>
  <c r="T322" i="6"/>
  <c r="T65" i="6"/>
  <c r="T223" i="6"/>
  <c r="T325" i="6"/>
  <c r="T332" i="6"/>
  <c r="T267" i="6"/>
  <c r="T138" i="6"/>
  <c r="T376" i="6"/>
  <c r="E135" i="4"/>
  <c r="D131" i="1" s="1"/>
  <c r="T190" i="6"/>
  <c r="T159" i="6"/>
  <c r="T70" i="6"/>
  <c r="T197" i="6"/>
  <c r="T324" i="6"/>
  <c r="T68" i="6"/>
  <c r="T195" i="6"/>
  <c r="T258" i="6"/>
  <c r="T257" i="6"/>
  <c r="T312" i="6"/>
  <c r="T222" i="6"/>
  <c r="T359" i="6"/>
  <c r="T103" i="6"/>
  <c r="T14" i="6"/>
  <c r="T141" i="6"/>
  <c r="T268" i="6"/>
  <c r="T12" i="6"/>
  <c r="T139" i="6"/>
  <c r="T202" i="6"/>
  <c r="T249" i="6"/>
  <c r="T304" i="6"/>
  <c r="T295" i="6"/>
  <c r="T39" i="6"/>
  <c r="T333" i="6"/>
  <c r="T77" i="6"/>
  <c r="T204" i="6"/>
  <c r="T331" i="6"/>
  <c r="T75" i="6"/>
  <c r="T130" i="6"/>
  <c r="T185" i="6"/>
  <c r="T184" i="6"/>
  <c r="T266" i="6"/>
  <c r="T10" i="6"/>
  <c r="T129" i="6"/>
  <c r="T248" i="6"/>
  <c r="T342" i="6"/>
  <c r="T67" i="6"/>
  <c r="T194" i="6"/>
  <c r="T313" i="6"/>
  <c r="T57" i="6"/>
  <c r="T176" i="6"/>
  <c r="T343" i="6"/>
  <c r="T23" i="6"/>
  <c r="T381" i="6"/>
  <c r="T61" i="6"/>
  <c r="T188" i="6"/>
  <c r="T379" i="6"/>
  <c r="T59" i="6"/>
  <c r="T250" i="6"/>
  <c r="T58" i="6"/>
  <c r="T177" i="6"/>
  <c r="T360" i="6"/>
  <c r="T104" i="6"/>
  <c r="T206" i="6"/>
  <c r="T366" i="6"/>
  <c r="T294" i="6"/>
  <c r="T335" i="6"/>
  <c r="T271" i="6"/>
  <c r="T207" i="6"/>
  <c r="T143" i="6"/>
  <c r="T79" i="6"/>
  <c r="T15" i="6"/>
  <c r="T118" i="6"/>
  <c r="T54" i="6"/>
  <c r="T373" i="6"/>
  <c r="T309" i="6"/>
  <c r="T245" i="6"/>
  <c r="T181" i="6"/>
  <c r="T117" i="6"/>
  <c r="T53" i="6"/>
  <c r="T372" i="6"/>
  <c r="T308" i="6"/>
  <c r="T244" i="6"/>
  <c r="T180" i="6"/>
  <c r="T116" i="6"/>
  <c r="T52" i="6"/>
  <c r="T371" i="6"/>
  <c r="T307" i="6"/>
  <c r="T243" i="6"/>
  <c r="T179" i="6"/>
  <c r="T115" i="6"/>
  <c r="T51" i="6"/>
  <c r="T370" i="6"/>
  <c r="T306" i="6"/>
  <c r="T242" i="6"/>
  <c r="T178" i="6"/>
  <c r="T114" i="6"/>
  <c r="T50" i="6"/>
  <c r="T361" i="6"/>
  <c r="T297" i="6"/>
  <c r="T233" i="6"/>
  <c r="T169" i="6"/>
  <c r="T105" i="6"/>
  <c r="T41" i="6"/>
  <c r="T352" i="6"/>
  <c r="T288" i="6"/>
  <c r="T224" i="6"/>
  <c r="T160" i="6"/>
  <c r="T96" i="6"/>
  <c r="T32" i="6"/>
  <c r="T350" i="6"/>
  <c r="T358" i="6"/>
  <c r="T87" i="6"/>
  <c r="T253" i="6"/>
  <c r="T252" i="6"/>
  <c r="T123" i="6"/>
  <c r="T241" i="6"/>
  <c r="T327" i="6"/>
  <c r="T263" i="6"/>
  <c r="T199" i="6"/>
  <c r="T135" i="6"/>
  <c r="T71" i="6"/>
  <c r="T7" i="6"/>
  <c r="T110" i="6"/>
  <c r="T46" i="6"/>
  <c r="T365" i="6"/>
  <c r="T301" i="6"/>
  <c r="T237" i="6"/>
  <c r="T173" i="6"/>
  <c r="T109" i="6"/>
  <c r="T45" i="6"/>
  <c r="T364" i="6"/>
  <c r="T300" i="6"/>
  <c r="T236" i="6"/>
  <c r="T172" i="6"/>
  <c r="T108" i="6"/>
  <c r="T44" i="6"/>
  <c r="T363" i="6"/>
  <c r="T299" i="6"/>
  <c r="T235" i="6"/>
  <c r="T171" i="6"/>
  <c r="T107" i="6"/>
  <c r="T43" i="6"/>
  <c r="T362" i="6"/>
  <c r="T298" i="6"/>
  <c r="T234" i="6"/>
  <c r="T170" i="6"/>
  <c r="T106" i="6"/>
  <c r="T42" i="6"/>
  <c r="T353" i="6"/>
  <c r="T289" i="6"/>
  <c r="T225" i="6"/>
  <c r="T161" i="6"/>
  <c r="T97" i="6"/>
  <c r="T33" i="6"/>
  <c r="T344" i="6"/>
  <c r="T280" i="6"/>
  <c r="T216" i="6"/>
  <c r="T152" i="6"/>
  <c r="T88" i="6"/>
  <c r="T24" i="6"/>
  <c r="T151" i="6"/>
  <c r="T125" i="6"/>
  <c r="T251" i="6"/>
  <c r="T168" i="6"/>
  <c r="T230" i="6"/>
  <c r="T262" i="6"/>
  <c r="T238" i="6"/>
  <c r="T2" i="6"/>
  <c r="T319" i="6"/>
  <c r="T255" i="6"/>
  <c r="T191" i="6"/>
  <c r="T127" i="6"/>
  <c r="T63" i="6"/>
  <c r="T166" i="6"/>
  <c r="T102" i="6"/>
  <c r="T38" i="6"/>
  <c r="T357" i="6"/>
  <c r="T293" i="6"/>
  <c r="T229" i="6"/>
  <c r="T165" i="6"/>
  <c r="T101" i="6"/>
  <c r="T37" i="6"/>
  <c r="T356" i="6"/>
  <c r="T292" i="6"/>
  <c r="T228" i="6"/>
  <c r="T164" i="6"/>
  <c r="T100" i="6"/>
  <c r="T36" i="6"/>
  <c r="T355" i="6"/>
  <c r="T291" i="6"/>
  <c r="T227" i="6"/>
  <c r="T163" i="6"/>
  <c r="T99" i="6"/>
  <c r="T35" i="6"/>
  <c r="T354" i="6"/>
  <c r="T290" i="6"/>
  <c r="T226" i="6"/>
  <c r="T162" i="6"/>
  <c r="T98" i="6"/>
  <c r="T34" i="6"/>
  <c r="T345" i="6"/>
  <c r="T281" i="6"/>
  <c r="T217" i="6"/>
  <c r="T153" i="6"/>
  <c r="T89" i="6"/>
  <c r="T25" i="6"/>
  <c r="T336" i="6"/>
  <c r="T272" i="6"/>
  <c r="T208" i="6"/>
  <c r="T144" i="6"/>
  <c r="T80" i="6"/>
  <c r="T16" i="6"/>
  <c r="T182" i="6"/>
  <c r="T215" i="6"/>
  <c r="T62" i="6"/>
  <c r="T189" i="6"/>
  <c r="T316" i="6"/>
  <c r="T60" i="6"/>
  <c r="T187" i="6"/>
  <c r="T314" i="6"/>
  <c r="T122" i="6"/>
  <c r="T305" i="6"/>
  <c r="T49" i="6"/>
  <c r="T232" i="6"/>
  <c r="T40" i="6"/>
  <c r="T302" i="6"/>
  <c r="T198" i="6"/>
  <c r="T174" i="6"/>
  <c r="T375" i="6"/>
  <c r="T311" i="6"/>
  <c r="T247" i="6"/>
  <c r="T183" i="6"/>
  <c r="T119" i="6"/>
  <c r="T55" i="6"/>
  <c r="T158" i="6"/>
  <c r="T94" i="6"/>
  <c r="T30" i="6"/>
  <c r="T349" i="6"/>
  <c r="T285" i="6"/>
  <c r="T221" i="6"/>
  <c r="T157" i="6"/>
  <c r="T93" i="6"/>
  <c r="T29" i="6"/>
  <c r="T348" i="6"/>
  <c r="T284" i="6"/>
  <c r="T220" i="6"/>
  <c r="T156" i="6"/>
  <c r="T92" i="6"/>
  <c r="T28" i="6"/>
  <c r="T347" i="6"/>
  <c r="T283" i="6"/>
  <c r="T219" i="6"/>
  <c r="T155" i="6"/>
  <c r="T91" i="6"/>
  <c r="T27" i="6"/>
  <c r="T346" i="6"/>
  <c r="T282" i="6"/>
  <c r="T218" i="6"/>
  <c r="T154" i="6"/>
  <c r="T90" i="6"/>
  <c r="T26" i="6"/>
  <c r="T337" i="6"/>
  <c r="T273" i="6"/>
  <c r="T209" i="6"/>
  <c r="T145" i="6"/>
  <c r="T81" i="6"/>
  <c r="T17" i="6"/>
  <c r="T328" i="6"/>
  <c r="T264" i="6"/>
  <c r="T200" i="6"/>
  <c r="T136" i="6"/>
  <c r="T72" i="6"/>
  <c r="T8" i="6"/>
  <c r="T270" i="6"/>
  <c r="T279" i="6"/>
  <c r="T126" i="6"/>
  <c r="T317" i="6"/>
  <c r="T380" i="6"/>
  <c r="T124" i="6"/>
  <c r="T315" i="6"/>
  <c r="T378" i="6"/>
  <c r="T186" i="6"/>
  <c r="T369" i="6"/>
  <c r="T113" i="6"/>
  <c r="T296" i="6"/>
  <c r="T278" i="6"/>
  <c r="T326" i="6"/>
  <c r="T374" i="6"/>
  <c r="T318" i="6"/>
  <c r="T367" i="6"/>
  <c r="T303" i="6"/>
  <c r="T239" i="6"/>
  <c r="T175" i="6"/>
  <c r="T111" i="6"/>
  <c r="T47" i="6"/>
  <c r="T150" i="6"/>
  <c r="T86" i="6"/>
  <c r="T22" i="6"/>
  <c r="T341" i="6"/>
  <c r="T277" i="6"/>
  <c r="T213" i="6"/>
  <c r="T149" i="6"/>
  <c r="T85" i="6"/>
  <c r="T21" i="6"/>
  <c r="T340" i="6"/>
  <c r="T276" i="6"/>
  <c r="T212" i="6"/>
  <c r="T148" i="6"/>
  <c r="T84" i="6"/>
  <c r="T20" i="6"/>
  <c r="T339" i="6"/>
  <c r="T275" i="6"/>
  <c r="T211" i="6"/>
  <c r="T147" i="6"/>
  <c r="T83" i="6"/>
  <c r="T19" i="6"/>
  <c r="T338" i="6"/>
  <c r="T274" i="6"/>
  <c r="T210" i="6"/>
  <c r="T146" i="6"/>
  <c r="T82" i="6"/>
  <c r="T18" i="6"/>
  <c r="T329" i="6"/>
  <c r="T265" i="6"/>
  <c r="T201" i="6"/>
  <c r="T137" i="6"/>
  <c r="T73" i="6"/>
  <c r="T9" i="6"/>
  <c r="T320" i="6"/>
  <c r="T256" i="6"/>
  <c r="T192" i="6"/>
  <c r="T128" i="6"/>
  <c r="T64" i="6"/>
  <c r="W64" i="6" s="1"/>
  <c r="X64" i="6" s="1"/>
  <c r="T286" i="6"/>
  <c r="D110" i="4"/>
  <c r="V65" i="6"/>
  <c r="V173" i="6"/>
  <c r="V4" i="6"/>
  <c r="V126" i="6"/>
  <c r="V129" i="6"/>
  <c r="V266" i="6"/>
  <c r="V379" i="6"/>
  <c r="V62" i="6"/>
  <c r="V202" i="6"/>
  <c r="V68" i="6"/>
  <c r="V55" i="6"/>
  <c r="V193" i="6"/>
  <c r="V330" i="6"/>
  <c r="V198" i="6"/>
  <c r="V132" i="6"/>
  <c r="V257" i="6"/>
  <c r="V196" i="6"/>
  <c r="V183" i="6"/>
  <c r="V321" i="6"/>
  <c r="V260" i="6"/>
  <c r="V247" i="6"/>
  <c r="V10" i="6"/>
  <c r="V119" i="6"/>
  <c r="V324" i="6"/>
  <c r="V311" i="6"/>
  <c r="V74" i="6"/>
  <c r="V144" i="6"/>
  <c r="V11" i="6"/>
  <c r="V375" i="6"/>
  <c r="V138" i="6"/>
  <c r="V333" i="6"/>
  <c r="V75" i="6"/>
  <c r="V264" i="6"/>
  <c r="V5" i="6"/>
  <c r="V59" i="6"/>
  <c r="V123" i="6"/>
  <c r="V52" i="6"/>
  <c r="V116" i="6"/>
  <c r="V180" i="6"/>
  <c r="V244" i="6"/>
  <c r="V308" i="6"/>
  <c r="V372" i="6"/>
  <c r="V46" i="6"/>
  <c r="V110" i="6"/>
  <c r="V39" i="6"/>
  <c r="V103" i="6"/>
  <c r="V167" i="6"/>
  <c r="V231" i="6"/>
  <c r="V295" i="6"/>
  <c r="V359" i="6"/>
  <c r="V49" i="6"/>
  <c r="V113" i="6"/>
  <c r="V177" i="6"/>
  <c r="V241" i="6"/>
  <c r="V305" i="6"/>
  <c r="V369" i="6"/>
  <c r="V58" i="6"/>
  <c r="V122" i="6"/>
  <c r="V186" i="6"/>
  <c r="V250" i="6"/>
  <c r="V314" i="6"/>
  <c r="V378" i="6"/>
  <c r="V208" i="6"/>
  <c r="V174" i="6"/>
  <c r="V205" i="6"/>
  <c r="V365" i="6"/>
  <c r="V283" i="6"/>
  <c r="V155" i="6"/>
  <c r="V211" i="6"/>
  <c r="V381" i="6"/>
  <c r="V296" i="6"/>
  <c r="V168" i="6"/>
  <c r="V323" i="6"/>
  <c r="V120" i="6"/>
  <c r="V358" i="6"/>
  <c r="V230" i="6"/>
  <c r="V69" i="6"/>
  <c r="V93" i="6"/>
  <c r="V222" i="6"/>
  <c r="V341" i="6"/>
  <c r="V213" i="6"/>
  <c r="V32" i="6"/>
  <c r="V67" i="6"/>
  <c r="V131" i="6"/>
  <c r="V60" i="6"/>
  <c r="V124" i="6"/>
  <c r="V188" i="6"/>
  <c r="V252" i="6"/>
  <c r="V316" i="6"/>
  <c r="V380" i="6"/>
  <c r="V54" i="6"/>
  <c r="V118" i="6"/>
  <c r="V47" i="6"/>
  <c r="V111" i="6"/>
  <c r="V175" i="6"/>
  <c r="V239" i="6"/>
  <c r="V303" i="6"/>
  <c r="V367" i="6"/>
  <c r="V57" i="6"/>
  <c r="V121" i="6"/>
  <c r="W121" i="6" s="1"/>
  <c r="X121" i="6" s="1"/>
  <c r="V185" i="6"/>
  <c r="V249" i="6"/>
  <c r="W249" i="6" s="1"/>
  <c r="V313" i="6"/>
  <c r="V377" i="6"/>
  <c r="V66" i="6"/>
  <c r="V130" i="6"/>
  <c r="V194" i="6"/>
  <c r="V258" i="6"/>
  <c r="V322" i="6"/>
  <c r="V176" i="6"/>
  <c r="V53" i="6"/>
  <c r="V189" i="6"/>
  <c r="V80" i="6"/>
  <c r="V267" i="6"/>
  <c r="V139" i="6"/>
  <c r="V163" i="6"/>
  <c r="V301" i="6"/>
  <c r="V280" i="6"/>
  <c r="V152" i="6"/>
  <c r="V275" i="6"/>
  <c r="V2" i="6"/>
  <c r="V342" i="6"/>
  <c r="V214" i="6"/>
  <c r="W214" i="6" s="1"/>
  <c r="X214" i="6" s="1"/>
  <c r="V37" i="6"/>
  <c r="V368" i="6"/>
  <c r="V190" i="6"/>
  <c r="V325" i="6"/>
  <c r="V197" i="6"/>
  <c r="V3" i="6"/>
  <c r="V109" i="6"/>
  <c r="V243" i="6"/>
  <c r="V158" i="6"/>
  <c r="V19" i="6"/>
  <c r="V83" i="6"/>
  <c r="V12" i="6"/>
  <c r="V76" i="6"/>
  <c r="W76" i="6" s="1"/>
  <c r="V140" i="6"/>
  <c r="V204" i="6"/>
  <c r="V268" i="6"/>
  <c r="V332" i="6"/>
  <c r="V6" i="6"/>
  <c r="V70" i="6"/>
  <c r="V134" i="6"/>
  <c r="V63" i="6"/>
  <c r="V127" i="6"/>
  <c r="V191" i="6"/>
  <c r="V255" i="6"/>
  <c r="V319" i="6"/>
  <c r="V9" i="6"/>
  <c r="V73" i="6"/>
  <c r="V137" i="6"/>
  <c r="V201" i="6"/>
  <c r="V265" i="6"/>
  <c r="V329" i="6"/>
  <c r="V18" i="6"/>
  <c r="V82" i="6"/>
  <c r="V146" i="6"/>
  <c r="V210" i="6"/>
  <c r="V274" i="6"/>
  <c r="V338" i="6"/>
  <c r="V56" i="6"/>
  <c r="V285" i="6"/>
  <c r="V48" i="6"/>
  <c r="V363" i="6"/>
  <c r="V235" i="6"/>
  <c r="V77" i="6"/>
  <c r="V288" i="6"/>
  <c r="V376" i="6"/>
  <c r="V248" i="6"/>
  <c r="V104" i="6"/>
  <c r="V179" i="6"/>
  <c r="V238" i="6"/>
  <c r="V310" i="6"/>
  <c r="V182" i="6"/>
  <c r="W182" i="6" s="1"/>
  <c r="X182" i="6" s="1"/>
  <c r="V371" i="6"/>
  <c r="V256" i="6"/>
  <c r="V21" i="6"/>
  <c r="V293" i="6"/>
  <c r="V165" i="6"/>
  <c r="V61" i="6"/>
  <c r="V302" i="6"/>
  <c r="V181" i="6"/>
  <c r="V27" i="6"/>
  <c r="V91" i="6"/>
  <c r="V20" i="6"/>
  <c r="V84" i="6"/>
  <c r="V148" i="6"/>
  <c r="V212" i="6"/>
  <c r="V276" i="6"/>
  <c r="V340" i="6"/>
  <c r="V14" i="6"/>
  <c r="V78" i="6"/>
  <c r="V7" i="6"/>
  <c r="V71" i="6"/>
  <c r="V135" i="6"/>
  <c r="V199" i="6"/>
  <c r="V263" i="6"/>
  <c r="V327" i="6"/>
  <c r="W327" i="6" s="1"/>
  <c r="V17" i="6"/>
  <c r="V81" i="6"/>
  <c r="V145" i="6"/>
  <c r="V209" i="6"/>
  <c r="V273" i="6"/>
  <c r="V337" i="6"/>
  <c r="V26" i="6"/>
  <c r="V90" i="6"/>
  <c r="V154" i="6"/>
  <c r="V218" i="6"/>
  <c r="V282" i="6"/>
  <c r="V346" i="6"/>
  <c r="V227" i="6"/>
  <c r="V366" i="6"/>
  <c r="V269" i="6"/>
  <c r="V16" i="6"/>
  <c r="V347" i="6"/>
  <c r="V219" i="6"/>
  <c r="V45" i="6"/>
  <c r="V240" i="6"/>
  <c r="V360" i="6"/>
  <c r="V232" i="6"/>
  <c r="V72" i="6"/>
  <c r="V125" i="6"/>
  <c r="V85" i="6"/>
  <c r="V294" i="6"/>
  <c r="V166" i="6"/>
  <c r="V307" i="6"/>
  <c r="V192" i="6"/>
  <c r="V317" i="6"/>
  <c r="V277" i="6"/>
  <c r="V149" i="6"/>
  <c r="V35" i="6"/>
  <c r="V99" i="6"/>
  <c r="V28" i="6"/>
  <c r="V92" i="6"/>
  <c r="V156" i="6"/>
  <c r="V220" i="6"/>
  <c r="V284" i="6"/>
  <c r="V348" i="6"/>
  <c r="V22" i="6"/>
  <c r="V86" i="6"/>
  <c r="V15" i="6"/>
  <c r="V79" i="6"/>
  <c r="V143" i="6"/>
  <c r="V207" i="6"/>
  <c r="W207" i="6" s="1"/>
  <c r="Y207" i="6" s="1"/>
  <c r="V271" i="6"/>
  <c r="V335" i="6"/>
  <c r="V25" i="6"/>
  <c r="V89" i="6"/>
  <c r="V153" i="6"/>
  <c r="V217" i="6"/>
  <c r="V281" i="6"/>
  <c r="V345" i="6"/>
  <c r="V34" i="6"/>
  <c r="V98" i="6"/>
  <c r="V162" i="6"/>
  <c r="V226" i="6"/>
  <c r="V290" i="6"/>
  <c r="V354" i="6"/>
  <c r="V352" i="6"/>
  <c r="V286" i="6"/>
  <c r="V253" i="6"/>
  <c r="V350" i="6"/>
  <c r="V331" i="6"/>
  <c r="V203" i="6"/>
  <c r="V13" i="6"/>
  <c r="V88" i="6"/>
  <c r="V344" i="6"/>
  <c r="V216" i="6"/>
  <c r="V40" i="6"/>
  <c r="V29" i="6"/>
  <c r="V349" i="6"/>
  <c r="V278" i="6"/>
  <c r="V150" i="6"/>
  <c r="V259" i="6"/>
  <c r="V160" i="6"/>
  <c r="V157" i="6"/>
  <c r="V261" i="6"/>
  <c r="V128" i="6"/>
  <c r="V251" i="6"/>
  <c r="V136" i="6"/>
  <c r="V320" i="6"/>
  <c r="V43" i="6"/>
  <c r="V107" i="6"/>
  <c r="V36" i="6"/>
  <c r="V100" i="6"/>
  <c r="V164" i="6"/>
  <c r="V228" i="6"/>
  <c r="V292" i="6"/>
  <c r="V356" i="6"/>
  <c r="W356" i="6" s="1"/>
  <c r="V30" i="6"/>
  <c r="V94" i="6"/>
  <c r="V23" i="6"/>
  <c r="V87" i="6"/>
  <c r="V151" i="6"/>
  <c r="V215" i="6"/>
  <c r="V279" i="6"/>
  <c r="V343" i="6"/>
  <c r="W343" i="6" s="1"/>
  <c r="V33" i="6"/>
  <c r="V97" i="6"/>
  <c r="V161" i="6"/>
  <c r="V225" i="6"/>
  <c r="V289" i="6"/>
  <c r="V353" i="6"/>
  <c r="V42" i="6"/>
  <c r="V106" i="6"/>
  <c r="V170" i="6"/>
  <c r="V234" i="6"/>
  <c r="V298" i="6"/>
  <c r="V362" i="6"/>
  <c r="V336" i="6"/>
  <c r="V254" i="6"/>
  <c r="V237" i="6"/>
  <c r="V270" i="6"/>
  <c r="V315" i="6"/>
  <c r="V187" i="6"/>
  <c r="V339" i="6"/>
  <c r="V334" i="6"/>
  <c r="W334" i="6" s="1"/>
  <c r="X334" i="6" s="1"/>
  <c r="V328" i="6"/>
  <c r="V200" i="6"/>
  <c r="V8" i="6"/>
  <c r="V304" i="6"/>
  <c r="V141" i="6"/>
  <c r="V262" i="6"/>
  <c r="V133" i="6"/>
  <c r="V195" i="6"/>
  <c r="V24" i="6"/>
  <c r="V373" i="6"/>
  <c r="V245" i="6"/>
  <c r="V96" i="6"/>
  <c r="V112" i="6"/>
  <c r="W112" i="6" s="1"/>
  <c r="X112" i="6" s="1"/>
  <c r="V326" i="6"/>
  <c r="V309" i="6"/>
  <c r="V51" i="6"/>
  <c r="V115" i="6"/>
  <c r="V44" i="6"/>
  <c r="V108" i="6"/>
  <c r="V172" i="6"/>
  <c r="V236" i="6"/>
  <c r="V300" i="6"/>
  <c r="V364" i="6"/>
  <c r="V38" i="6"/>
  <c r="V102" i="6"/>
  <c r="V31" i="6"/>
  <c r="V95" i="6"/>
  <c r="V159" i="6"/>
  <c r="V223" i="6"/>
  <c r="V287" i="6"/>
  <c r="V351" i="6"/>
  <c r="V41" i="6"/>
  <c r="V105" i="6"/>
  <c r="V169" i="6"/>
  <c r="V233" i="6"/>
  <c r="V297" i="6"/>
  <c r="W297" i="6" s="1"/>
  <c r="V361" i="6"/>
  <c r="V50" i="6"/>
  <c r="V114" i="6"/>
  <c r="V178" i="6"/>
  <c r="V242" i="6"/>
  <c r="V306" i="6"/>
  <c r="V370" i="6"/>
  <c r="V272" i="6"/>
  <c r="V206" i="6"/>
  <c r="V221" i="6"/>
  <c r="V117" i="6"/>
  <c r="V299" i="6"/>
  <c r="V171" i="6"/>
  <c r="V291" i="6"/>
  <c r="V142" i="6"/>
  <c r="V312" i="6"/>
  <c r="W312" i="6" s="1"/>
  <c r="V184" i="6"/>
  <c r="V355" i="6"/>
  <c r="V224" i="6"/>
  <c r="V374" i="6"/>
  <c r="V246" i="6"/>
  <c r="V101" i="6"/>
  <c r="V147" i="6"/>
  <c r="V318" i="6"/>
  <c r="V357" i="6"/>
  <c r="V229" i="6"/>
  <c r="C72" i="4"/>
  <c r="C124" i="4"/>
  <c r="C38" i="4"/>
  <c r="W159" i="6" l="1"/>
  <c r="W51" i="6"/>
  <c r="W23" i="6"/>
  <c r="W136" i="6"/>
  <c r="X136" i="6" s="1"/>
  <c r="W381" i="6"/>
  <c r="Y381" i="6" s="1"/>
  <c r="W295" i="6"/>
  <c r="W237" i="6"/>
  <c r="X237" i="6" s="1"/>
  <c r="W351" i="6"/>
  <c r="W223" i="6"/>
  <c r="W15" i="6"/>
  <c r="Y15" i="6" s="1"/>
  <c r="W108" i="6"/>
  <c r="W332" i="6"/>
  <c r="Y332" i="6" s="1"/>
  <c r="W321" i="6"/>
  <c r="X321" i="6" s="1"/>
  <c r="W269" i="6"/>
  <c r="Y269" i="6" s="1"/>
  <c r="W52" i="6"/>
  <c r="X52" i="6" s="1"/>
  <c r="W360" i="6"/>
  <c r="W342" i="6"/>
  <c r="X342" i="6" s="1"/>
  <c r="W231" i="6"/>
  <c r="W31" i="6"/>
  <c r="X31" i="6" s="1"/>
  <c r="W134" i="6"/>
  <c r="Y134" i="6" s="1"/>
  <c r="W229" i="6"/>
  <c r="X229" i="6" s="1"/>
  <c r="W160" i="6"/>
  <c r="Y160" i="6" s="1"/>
  <c r="W259" i="6"/>
  <c r="X259" i="6" s="1"/>
  <c r="W197" i="6"/>
  <c r="W78" i="6"/>
  <c r="W309" i="6"/>
  <c r="W260" i="6"/>
  <c r="X260" i="6" s="1"/>
  <c r="W106" i="6"/>
  <c r="X106" i="6" s="1"/>
  <c r="W142" i="6"/>
  <c r="X142" i="6" s="1"/>
  <c r="W203" i="6"/>
  <c r="X203" i="6" s="1"/>
  <c r="W181" i="6"/>
  <c r="X181" i="6" s="1"/>
  <c r="W261" i="6"/>
  <c r="W364" i="6"/>
  <c r="W143" i="6"/>
  <c r="W204" i="6"/>
  <c r="Y204" i="6" s="1"/>
  <c r="W100" i="6"/>
  <c r="W271" i="6"/>
  <c r="X271" i="6" s="1"/>
  <c r="W187" i="6"/>
  <c r="X187" i="6" s="1"/>
  <c r="W344" i="6"/>
  <c r="Y344" i="6" s="1"/>
  <c r="W139" i="6"/>
  <c r="Y139" i="6" s="1"/>
  <c r="W283" i="6"/>
  <c r="W58" i="6"/>
  <c r="Y58" i="6" s="1"/>
  <c r="W29" i="6"/>
  <c r="X29" i="6" s="1"/>
  <c r="W235" i="6"/>
  <c r="W129" i="6"/>
  <c r="Y129" i="6" s="1"/>
  <c r="W192" i="6"/>
  <c r="X192" i="6" s="1"/>
  <c r="W279" i="6"/>
  <c r="X279" i="6" s="1"/>
  <c r="W341" i="6"/>
  <c r="X341" i="6" s="1"/>
  <c r="W140" i="6"/>
  <c r="W205" i="6"/>
  <c r="X205" i="6" s="1"/>
  <c r="W103" i="6"/>
  <c r="X103" i="6" s="1"/>
  <c r="W242" i="6"/>
  <c r="X242" i="6" s="1"/>
  <c r="W289" i="6"/>
  <c r="X289" i="6" s="1"/>
  <c r="W149" i="6"/>
  <c r="X149" i="6" s="1"/>
  <c r="W111" i="6"/>
  <c r="X111" i="6" s="1"/>
  <c r="W350" i="6"/>
  <c r="X350" i="6" s="1"/>
  <c r="W105" i="6"/>
  <c r="Y105" i="6" s="1"/>
  <c r="W28" i="6"/>
  <c r="Y28" i="6" s="1"/>
  <c r="W145" i="6"/>
  <c r="Y145" i="6" s="1"/>
  <c r="W316" i="6"/>
  <c r="Y316" i="6" s="1"/>
  <c r="W318" i="6"/>
  <c r="X318" i="6" s="1"/>
  <c r="W320" i="6"/>
  <c r="X320" i="6" s="1"/>
  <c r="W308" i="6"/>
  <c r="X308" i="6" s="1"/>
  <c r="W282" i="6"/>
  <c r="Y282" i="6" s="1"/>
  <c r="W107" i="6"/>
  <c r="X107" i="6" s="1"/>
  <c r="W26" i="6"/>
  <c r="Y26" i="6" s="1"/>
  <c r="W355" i="6"/>
  <c r="X355" i="6" s="1"/>
  <c r="W236" i="6"/>
  <c r="Y236" i="6" s="1"/>
  <c r="W30" i="6"/>
  <c r="Y30" i="6" s="1"/>
  <c r="W375" i="6"/>
  <c r="X375" i="6" s="1"/>
  <c r="W226" i="6"/>
  <c r="X226" i="6" s="1"/>
  <c r="W89" i="6"/>
  <c r="Y89" i="6" s="1"/>
  <c r="W101" i="6"/>
  <c r="X101" i="6" s="1"/>
  <c r="W306" i="6"/>
  <c r="X306" i="6" s="1"/>
  <c r="W169" i="6"/>
  <c r="X169" i="6" s="1"/>
  <c r="W353" i="6"/>
  <c r="X353" i="6" s="1"/>
  <c r="W284" i="6"/>
  <c r="X284" i="6" s="1"/>
  <c r="W36" i="6"/>
  <c r="X36" i="6" s="1"/>
  <c r="W216" i="6"/>
  <c r="Y216" i="6" s="1"/>
  <c r="W317" i="6"/>
  <c r="X317" i="6" s="1"/>
  <c r="W113" i="6"/>
  <c r="Y113" i="6" s="1"/>
  <c r="W247" i="6"/>
  <c r="X247" i="6" s="1"/>
  <c r="W206" i="6"/>
  <c r="X206" i="6" s="1"/>
  <c r="W88" i="6"/>
  <c r="Y88" i="6" s="1"/>
  <c r="W307" i="6"/>
  <c r="X307" i="6" s="1"/>
  <c r="W240" i="6"/>
  <c r="Y240" i="6" s="1"/>
  <c r="W285" i="6"/>
  <c r="X285" i="6" s="1"/>
  <c r="W5" i="6"/>
  <c r="X5" i="6" s="1"/>
  <c r="W74" i="6"/>
  <c r="X74" i="6" s="1"/>
  <c r="W68" i="6"/>
  <c r="X68" i="6" s="1"/>
  <c r="W85" i="6"/>
  <c r="Y85" i="6" s="1"/>
  <c r="W14" i="6"/>
  <c r="X14" i="6" s="1"/>
  <c r="W27" i="6"/>
  <c r="X27" i="6" s="1"/>
  <c r="W53" i="6"/>
  <c r="X53" i="6" s="1"/>
  <c r="W188" i="6"/>
  <c r="X188" i="6" s="1"/>
  <c r="W138" i="6"/>
  <c r="X138" i="6" s="1"/>
  <c r="W376" i="6"/>
  <c r="X376" i="6" s="1"/>
  <c r="W246" i="6"/>
  <c r="Y246" i="6" s="1"/>
  <c r="C123" i="4"/>
  <c r="W254" i="6"/>
  <c r="Y254" i="6" s="1"/>
  <c r="W167" i="6"/>
  <c r="Y167" i="6" s="1"/>
  <c r="W310" i="6"/>
  <c r="Y310" i="6" s="1"/>
  <c r="W357" i="6"/>
  <c r="X357" i="6" s="1"/>
  <c r="W99" i="6"/>
  <c r="Y99" i="6" s="1"/>
  <c r="W333" i="6"/>
  <c r="Y333" i="6" s="1"/>
  <c r="W266" i="6"/>
  <c r="Y266" i="6" s="1"/>
  <c r="W8" i="6"/>
  <c r="X8" i="6" s="1"/>
  <c r="W86" i="6"/>
  <c r="Y86" i="6" s="1"/>
  <c r="W294" i="6"/>
  <c r="Y294" i="6" s="1"/>
  <c r="W179" i="6"/>
  <c r="X179" i="6" s="1"/>
  <c r="W268" i="6"/>
  <c r="X268" i="6" s="1"/>
  <c r="W95" i="6"/>
  <c r="X95" i="6" s="1"/>
  <c r="W184" i="6"/>
  <c r="Y184" i="6" s="1"/>
  <c r="W141" i="6"/>
  <c r="Y141" i="6" s="1"/>
  <c r="W144" i="6"/>
  <c r="Y144" i="6" s="1"/>
  <c r="W330" i="6"/>
  <c r="X330" i="6" s="1"/>
  <c r="W377" i="6"/>
  <c r="Y377" i="6" s="1"/>
  <c r="W257" i="6"/>
  <c r="X257" i="6" s="1"/>
  <c r="W368" i="6"/>
  <c r="Y368" i="6" s="1"/>
  <c r="W47" i="6"/>
  <c r="Y47" i="6" s="1"/>
  <c r="W185" i="6"/>
  <c r="Y185" i="6" s="1"/>
  <c r="W336" i="6"/>
  <c r="Y336" i="6" s="1"/>
  <c r="W73" i="6"/>
  <c r="Y73" i="6" s="1"/>
  <c r="W102" i="6"/>
  <c r="X102" i="6" s="1"/>
  <c r="W124" i="6"/>
  <c r="Y124" i="6" s="1"/>
  <c r="W178" i="6"/>
  <c r="Y178" i="6" s="1"/>
  <c r="W41" i="6"/>
  <c r="X41" i="6" s="1"/>
  <c r="W362" i="6"/>
  <c r="X362" i="6" s="1"/>
  <c r="W225" i="6"/>
  <c r="X225" i="6" s="1"/>
  <c r="W322" i="6"/>
  <c r="X322" i="6" s="1"/>
  <c r="W98" i="6"/>
  <c r="X98" i="6" s="1"/>
  <c r="W210" i="6"/>
  <c r="X210" i="6" s="1"/>
  <c r="W339" i="6"/>
  <c r="X339" i="6" s="1"/>
  <c r="W199" i="6"/>
  <c r="X199" i="6" s="1"/>
  <c r="W238" i="6"/>
  <c r="X238" i="6" s="1"/>
  <c r="W258" i="6"/>
  <c r="X258" i="6" s="1"/>
  <c r="W193" i="6"/>
  <c r="Y193" i="6" s="1"/>
  <c r="W326" i="6"/>
  <c r="X326" i="6" s="1"/>
  <c r="W156" i="6"/>
  <c r="Y156" i="6" s="1"/>
  <c r="W227" i="6"/>
  <c r="X227" i="6" s="1"/>
  <c r="W273" i="6"/>
  <c r="Y273" i="6" s="1"/>
  <c r="W194" i="6"/>
  <c r="X194" i="6" s="1"/>
  <c r="W57" i="6"/>
  <c r="X57" i="6" s="1"/>
  <c r="W358" i="6"/>
  <c r="Y358" i="6" s="1"/>
  <c r="W4" i="6"/>
  <c r="Y4" i="6" s="1"/>
  <c r="W272" i="6"/>
  <c r="Y272" i="6" s="1"/>
  <c r="W270" i="6"/>
  <c r="Y270" i="6" s="1"/>
  <c r="W13" i="6"/>
  <c r="Y13" i="6" s="1"/>
  <c r="W56" i="6"/>
  <c r="X56" i="6" s="1"/>
  <c r="W3" i="6"/>
  <c r="Y3" i="6" s="1"/>
  <c r="W323" i="6"/>
  <c r="Y323" i="6" s="1"/>
  <c r="W65" i="6"/>
  <c r="X65" i="6" s="1"/>
  <c r="W44" i="6"/>
  <c r="X44" i="6" s="1"/>
  <c r="W12" i="6"/>
  <c r="Y12" i="6" s="1"/>
  <c r="W77" i="6"/>
  <c r="Y77" i="6" s="1"/>
  <c r="W190" i="6"/>
  <c r="X190" i="6" s="1"/>
  <c r="W176" i="6"/>
  <c r="X176" i="6" s="1"/>
  <c r="W10" i="6"/>
  <c r="X10" i="6" s="1"/>
  <c r="W195" i="6"/>
  <c r="Y195" i="6" s="1"/>
  <c r="W39" i="6"/>
  <c r="Y39" i="6" s="1"/>
  <c r="W133" i="6"/>
  <c r="X133" i="6" s="1"/>
  <c r="W131" i="6"/>
  <c r="Y131" i="6" s="1"/>
  <c r="W11" i="6"/>
  <c r="Y11" i="6" s="1"/>
  <c r="W120" i="6"/>
  <c r="X120" i="6" s="1"/>
  <c r="W128" i="6"/>
  <c r="X128" i="6" s="1"/>
  <c r="W171" i="6"/>
  <c r="X171" i="6" s="1"/>
  <c r="W328" i="6"/>
  <c r="Y328" i="6" s="1"/>
  <c r="W267" i="6"/>
  <c r="Y267" i="6" s="1"/>
  <c r="W177" i="6"/>
  <c r="Y177" i="6" s="1"/>
  <c r="W196" i="6"/>
  <c r="X196" i="6" s="1"/>
  <c r="W16" i="6"/>
  <c r="X16" i="6" s="1"/>
  <c r="W90" i="6"/>
  <c r="Y90" i="6" s="1"/>
  <c r="W70" i="6"/>
  <c r="X70" i="6" s="1"/>
  <c r="W280" i="6"/>
  <c r="X280" i="6" s="1"/>
  <c r="W241" i="6"/>
  <c r="X241" i="6" s="1"/>
  <c r="W116" i="6"/>
  <c r="Y116" i="6" s="1"/>
  <c r="W69" i="6"/>
  <c r="X69" i="6" s="1"/>
  <c r="W348" i="6"/>
  <c r="Y348" i="6" s="1"/>
  <c r="W277" i="6"/>
  <c r="X277" i="6" s="1"/>
  <c r="W19" i="6"/>
  <c r="Y19" i="6" s="1"/>
  <c r="W314" i="6"/>
  <c r="Y314" i="6" s="1"/>
  <c r="W300" i="6"/>
  <c r="Y300" i="6" s="1"/>
  <c r="W94" i="6"/>
  <c r="X94" i="6" s="1"/>
  <c r="W148" i="6"/>
  <c r="Y148" i="6" s="1"/>
  <c r="W165" i="6"/>
  <c r="Y165" i="6" s="1"/>
  <c r="W48" i="6"/>
  <c r="X48" i="6" s="1"/>
  <c r="W46" i="6"/>
  <c r="Y46" i="6" s="1"/>
  <c r="W96" i="6"/>
  <c r="Y96" i="6" s="1"/>
  <c r="W290" i="6"/>
  <c r="Y290" i="6" s="1"/>
  <c r="W153" i="6"/>
  <c r="X153" i="6" s="1"/>
  <c r="W248" i="6"/>
  <c r="X248" i="6" s="1"/>
  <c r="W265" i="6"/>
  <c r="X265" i="6" s="1"/>
  <c r="W127" i="6"/>
  <c r="X127" i="6" s="1"/>
  <c r="W202" i="6"/>
  <c r="X202" i="6" s="1"/>
  <c r="W370" i="6"/>
  <c r="Y370" i="6" s="1"/>
  <c r="W245" i="6"/>
  <c r="X245" i="6" s="1"/>
  <c r="W42" i="6"/>
  <c r="X42" i="6" s="1"/>
  <c r="W239" i="6"/>
  <c r="Y239" i="6" s="1"/>
  <c r="W168" i="6"/>
  <c r="Y168" i="6" s="1"/>
  <c r="W174" i="6"/>
  <c r="Y174" i="6" s="1"/>
  <c r="W233" i="6"/>
  <c r="X233" i="6" s="1"/>
  <c r="W219" i="6"/>
  <c r="X219" i="6" s="1"/>
  <c r="W331" i="6"/>
  <c r="X331" i="6" s="1"/>
  <c r="W325" i="6"/>
  <c r="Y325" i="6" s="1"/>
  <c r="W222" i="6"/>
  <c r="X222" i="6" s="1"/>
  <c r="W132" i="6"/>
  <c r="X132" i="6" s="1"/>
  <c r="W6" i="6"/>
  <c r="X6" i="6" s="1"/>
  <c r="W301" i="6"/>
  <c r="X301" i="6" s="1"/>
  <c r="W287" i="6"/>
  <c r="X287" i="6" s="1"/>
  <c r="W49" i="6"/>
  <c r="Y49" i="6" s="1"/>
  <c r="W45" i="6"/>
  <c r="Y45" i="6" s="1"/>
  <c r="W7" i="6"/>
  <c r="X7" i="6" s="1"/>
  <c r="W66" i="6"/>
  <c r="Y66" i="6" s="1"/>
  <c r="W62" i="6"/>
  <c r="X62" i="6" s="1"/>
  <c r="W198" i="6"/>
  <c r="X198" i="6" s="1"/>
  <c r="W263" i="6"/>
  <c r="Y263" i="6" s="1"/>
  <c r="W304" i="6"/>
  <c r="X304" i="6" s="1"/>
  <c r="W278" i="6"/>
  <c r="Y278" i="6" s="1"/>
  <c r="W91" i="6"/>
  <c r="Y91" i="6" s="1"/>
  <c r="W338" i="6"/>
  <c r="Y338" i="6" s="1"/>
  <c r="W201" i="6"/>
  <c r="X201" i="6" s="1"/>
  <c r="W63" i="6"/>
  <c r="Y63" i="6" s="1"/>
  <c r="W75" i="6"/>
  <c r="Y75" i="6" s="1"/>
  <c r="W324" i="6"/>
  <c r="Y324" i="6" s="1"/>
  <c r="W172" i="6"/>
  <c r="X172" i="6" s="1"/>
  <c r="W291" i="6"/>
  <c r="X291" i="6" s="1"/>
  <c r="W200" i="6"/>
  <c r="X200" i="6" s="1"/>
  <c r="W215" i="6"/>
  <c r="X215" i="6" s="1"/>
  <c r="W349" i="6"/>
  <c r="X349" i="6" s="1"/>
  <c r="W162" i="6"/>
  <c r="X162" i="6" s="1"/>
  <c r="W25" i="6"/>
  <c r="X25" i="6" s="1"/>
  <c r="W371" i="6"/>
  <c r="Y371" i="6" s="1"/>
  <c r="W175" i="6"/>
  <c r="X175" i="6" s="1"/>
  <c r="W230" i="6"/>
  <c r="Y230" i="6" s="1"/>
  <c r="W155" i="6"/>
  <c r="X155" i="6" s="1"/>
  <c r="W61" i="6"/>
  <c r="Y61" i="6" s="1"/>
  <c r="W262" i="6"/>
  <c r="X262" i="6" s="1"/>
  <c r="W67" i="6"/>
  <c r="X67" i="6" s="1"/>
  <c r="W117" i="6"/>
  <c r="Y117" i="6" s="1"/>
  <c r="W43" i="6"/>
  <c r="Y43" i="6" s="1"/>
  <c r="W79" i="6"/>
  <c r="Y79" i="6" s="1"/>
  <c r="W84" i="6"/>
  <c r="X84" i="6" s="1"/>
  <c r="W104" i="6"/>
  <c r="X104" i="6" s="1"/>
  <c r="W130" i="6"/>
  <c r="X130" i="6" s="1"/>
  <c r="W32" i="6"/>
  <c r="X32" i="6" s="1"/>
  <c r="W365" i="6"/>
  <c r="X365" i="6" s="1"/>
  <c r="W122" i="6"/>
  <c r="X122" i="6" s="1"/>
  <c r="W359" i="6"/>
  <c r="Y359" i="6" s="1"/>
  <c r="W220" i="6"/>
  <c r="X220" i="6" s="1"/>
  <c r="W166" i="6"/>
  <c r="Y166" i="6" s="1"/>
  <c r="W213" i="6"/>
  <c r="X213" i="6" s="1"/>
  <c r="W264" i="6"/>
  <c r="X264" i="6" s="1"/>
  <c r="W369" i="6"/>
  <c r="X369" i="6" s="1"/>
  <c r="W251" i="6"/>
  <c r="X251" i="6" s="1"/>
  <c r="W154" i="6"/>
  <c r="X154" i="6" s="1"/>
  <c r="W17" i="6"/>
  <c r="X17" i="6" s="1"/>
  <c r="W274" i="6"/>
  <c r="Y274" i="6" s="1"/>
  <c r="W137" i="6"/>
  <c r="X137" i="6" s="1"/>
  <c r="W152" i="6"/>
  <c r="Y152" i="6" s="1"/>
  <c r="W305" i="6"/>
  <c r="X305" i="6" s="1"/>
  <c r="W180" i="6"/>
  <c r="X180" i="6" s="1"/>
  <c r="W286" i="6"/>
  <c r="X286" i="6" s="1"/>
  <c r="W337" i="6"/>
  <c r="Y337" i="6" s="1"/>
  <c r="W212" i="6"/>
  <c r="X212" i="6" s="1"/>
  <c r="W158" i="6"/>
  <c r="Y158" i="6" s="1"/>
  <c r="W37" i="6"/>
  <c r="X37" i="6" s="1"/>
  <c r="W110" i="6"/>
  <c r="Y110" i="6" s="1"/>
  <c r="W123" i="6"/>
  <c r="X123" i="6" s="1"/>
  <c r="W354" i="6"/>
  <c r="X354" i="6" s="1"/>
  <c r="W217" i="6"/>
  <c r="X217" i="6" s="1"/>
  <c r="W329" i="6"/>
  <c r="X329" i="6" s="1"/>
  <c r="W191" i="6"/>
  <c r="Y191" i="6" s="1"/>
  <c r="W380" i="6"/>
  <c r="Y380" i="6" s="1"/>
  <c r="W20" i="6"/>
  <c r="Y20" i="6" s="1"/>
  <c r="W80" i="6"/>
  <c r="X80" i="6" s="1"/>
  <c r="W303" i="6"/>
  <c r="X303" i="6" s="1"/>
  <c r="W311" i="6"/>
  <c r="Y311" i="6" s="1"/>
  <c r="W313" i="6"/>
  <c r="X313" i="6" s="1"/>
  <c r="W379" i="6"/>
  <c r="X379" i="6" s="1"/>
  <c r="F110" i="4"/>
  <c r="E110" i="1" s="1"/>
  <c r="E110" i="4"/>
  <c r="D110" i="1" s="1"/>
  <c r="W114" i="6"/>
  <c r="X114" i="6" s="1"/>
  <c r="W150" i="6"/>
  <c r="X150" i="6" s="1"/>
  <c r="W93" i="6"/>
  <c r="X93" i="6" s="1"/>
  <c r="W292" i="6"/>
  <c r="Y292" i="6" s="1"/>
  <c r="W211" i="6"/>
  <c r="Y211" i="6" s="1"/>
  <c r="W24" i="6"/>
  <c r="X24" i="6" s="1"/>
  <c r="W374" i="6"/>
  <c r="X374" i="6" s="1"/>
  <c r="W38" i="6"/>
  <c r="Y38" i="6" s="1"/>
  <c r="W87" i="6"/>
  <c r="X87" i="6" s="1"/>
  <c r="W34" i="6"/>
  <c r="X34" i="6" s="1"/>
  <c r="W72" i="6"/>
  <c r="X72" i="6" s="1"/>
  <c r="W146" i="6"/>
  <c r="X146" i="6" s="1"/>
  <c r="W9" i="6"/>
  <c r="X9" i="6" s="1"/>
  <c r="W298" i="6"/>
  <c r="X298" i="6" s="1"/>
  <c r="W161" i="6"/>
  <c r="Y161" i="6" s="1"/>
  <c r="W232" i="6"/>
  <c r="X232" i="6" s="1"/>
  <c r="W366" i="6"/>
  <c r="Y366" i="6" s="1"/>
  <c r="W163" i="6"/>
  <c r="Y163" i="6" s="1"/>
  <c r="W118" i="6"/>
  <c r="X118" i="6" s="1"/>
  <c r="W126" i="6"/>
  <c r="X126" i="6" s="1"/>
  <c r="W221" i="6"/>
  <c r="X221" i="6" s="1"/>
  <c r="W352" i="6"/>
  <c r="Y352" i="6" s="1"/>
  <c r="W135" i="6"/>
  <c r="X135" i="6" s="1"/>
  <c r="W243" i="6"/>
  <c r="Y243" i="6" s="1"/>
  <c r="W315" i="6"/>
  <c r="Y315" i="6" s="1"/>
  <c r="W92" i="6"/>
  <c r="X92" i="6" s="1"/>
  <c r="W346" i="6"/>
  <c r="Y346" i="6" s="1"/>
  <c r="W209" i="6"/>
  <c r="X209" i="6" s="1"/>
  <c r="W372" i="6"/>
  <c r="Y372" i="6" s="1"/>
  <c r="W183" i="6"/>
  <c r="X183" i="6" s="1"/>
  <c r="W173" i="6"/>
  <c r="Y173" i="6" s="1"/>
  <c r="W21" i="6"/>
  <c r="Y21" i="6" s="1"/>
  <c r="W2" i="6"/>
  <c r="Y2" i="6" s="1"/>
  <c r="W275" i="6"/>
  <c r="X275" i="6" s="1"/>
  <c r="W189" i="6"/>
  <c r="X189" i="6" s="1"/>
  <c r="W119" i="6"/>
  <c r="Y119" i="6" s="1"/>
  <c r="W59" i="6"/>
  <c r="X59" i="6" s="1"/>
  <c r="W218" i="6"/>
  <c r="X218" i="6" s="1"/>
  <c r="W373" i="6"/>
  <c r="X373" i="6" s="1"/>
  <c r="W228" i="6"/>
  <c r="X228" i="6" s="1"/>
  <c r="W22" i="6"/>
  <c r="X22" i="6" s="1"/>
  <c r="W35" i="6"/>
  <c r="Y35" i="6" s="1"/>
  <c r="W347" i="6"/>
  <c r="X347" i="6" s="1"/>
  <c r="W288" i="6"/>
  <c r="X288" i="6" s="1"/>
  <c r="W296" i="6"/>
  <c r="Y296" i="6" s="1"/>
  <c r="W208" i="6"/>
  <c r="X208" i="6" s="1"/>
  <c r="W147" i="6"/>
  <c r="X147" i="6" s="1"/>
  <c r="W115" i="6"/>
  <c r="X115" i="6" s="1"/>
  <c r="W151" i="6"/>
  <c r="X151" i="6" s="1"/>
  <c r="W164" i="6"/>
  <c r="X164" i="6" s="1"/>
  <c r="W335" i="6"/>
  <c r="Y335" i="6" s="1"/>
  <c r="W125" i="6"/>
  <c r="X125" i="6" s="1"/>
  <c r="W340" i="6"/>
  <c r="Y340" i="6" s="1"/>
  <c r="W83" i="6"/>
  <c r="X83" i="6" s="1"/>
  <c r="W378" i="6"/>
  <c r="X378" i="6" s="1"/>
  <c r="W81" i="6"/>
  <c r="Y81" i="6" s="1"/>
  <c r="W299" i="6"/>
  <c r="Y299" i="6" s="1"/>
  <c r="W40" i="6"/>
  <c r="X40" i="6" s="1"/>
  <c r="W253" i="6"/>
  <c r="Y253" i="6" s="1"/>
  <c r="W276" i="6"/>
  <c r="Y276" i="6" s="1"/>
  <c r="W302" i="6"/>
  <c r="Y302" i="6" s="1"/>
  <c r="W60" i="6"/>
  <c r="Y60" i="6" s="1"/>
  <c r="W252" i="6"/>
  <c r="X252" i="6" s="1"/>
  <c r="W224" i="6"/>
  <c r="X224" i="6" s="1"/>
  <c r="W157" i="6"/>
  <c r="Y157" i="6" s="1"/>
  <c r="W345" i="6"/>
  <c r="X345" i="6" s="1"/>
  <c r="W363" i="6"/>
  <c r="Y363" i="6" s="1"/>
  <c r="W82" i="6"/>
  <c r="X82" i="6" s="1"/>
  <c r="W319" i="6"/>
  <c r="Y319" i="6" s="1"/>
  <c r="W250" i="6"/>
  <c r="X250" i="6" s="1"/>
  <c r="W256" i="6"/>
  <c r="X256" i="6" s="1"/>
  <c r="W244" i="6"/>
  <c r="X244" i="6" s="1"/>
  <c r="W50" i="6"/>
  <c r="X50" i="6" s="1"/>
  <c r="W234" i="6"/>
  <c r="X234" i="6" s="1"/>
  <c r="W97" i="6"/>
  <c r="X97" i="6" s="1"/>
  <c r="W281" i="6"/>
  <c r="X281" i="6" s="1"/>
  <c r="W18" i="6"/>
  <c r="X18" i="6" s="1"/>
  <c r="W255" i="6"/>
  <c r="X255" i="6" s="1"/>
  <c r="W54" i="6"/>
  <c r="Y54" i="6" s="1"/>
  <c r="W186" i="6"/>
  <c r="W55" i="6"/>
  <c r="Y55" i="6" s="1"/>
  <c r="W361" i="6"/>
  <c r="X361" i="6" s="1"/>
  <c r="W170" i="6"/>
  <c r="X170" i="6" s="1"/>
  <c r="W33" i="6"/>
  <c r="Y33" i="6" s="1"/>
  <c r="W71" i="6"/>
  <c r="Y71" i="6" s="1"/>
  <c r="W293" i="6"/>
  <c r="X293" i="6" s="1"/>
  <c r="W109" i="6"/>
  <c r="Y109" i="6" s="1"/>
  <c r="W367" i="6"/>
  <c r="Y367" i="6" s="1"/>
  <c r="X58" i="6"/>
  <c r="X381" i="6"/>
  <c r="Y334" i="6"/>
  <c r="Y261" i="6"/>
  <c r="X261" i="6"/>
  <c r="Y214" i="6"/>
  <c r="X356" i="6"/>
  <c r="Y356" i="6"/>
  <c r="X197" i="6"/>
  <c r="Y197" i="6"/>
  <c r="Y249" i="6"/>
  <c r="X249" i="6"/>
  <c r="X78" i="6"/>
  <c r="Y78" i="6"/>
  <c r="Y121" i="6"/>
  <c r="Y64" i="6"/>
  <c r="Y237" i="6"/>
  <c r="Y342" i="6"/>
  <c r="X332" i="6"/>
  <c r="Y136" i="6"/>
  <c r="X207" i="6"/>
  <c r="Y182" i="6"/>
  <c r="Y112" i="6"/>
  <c r="Y106" i="6"/>
  <c r="X309" i="6"/>
  <c r="Y309" i="6"/>
  <c r="X295" i="6"/>
  <c r="Y295" i="6"/>
  <c r="X140" i="6"/>
  <c r="Y140" i="6"/>
  <c r="Y100" i="6"/>
  <c r="X100" i="6"/>
  <c r="X223" i="6"/>
  <c r="Y223" i="6"/>
  <c r="X297" i="6"/>
  <c r="Y297" i="6"/>
  <c r="Y327" i="6"/>
  <c r="X327" i="6"/>
  <c r="Y143" i="6"/>
  <c r="X143" i="6"/>
  <c r="X235" i="6"/>
  <c r="Y235" i="6"/>
  <c r="Y321" i="6"/>
  <c r="Y364" i="6"/>
  <c r="X364" i="6"/>
  <c r="X159" i="6"/>
  <c r="Y159" i="6"/>
  <c r="X351" i="6"/>
  <c r="Y351" i="6"/>
  <c r="Y23" i="6"/>
  <c r="X23" i="6"/>
  <c r="X51" i="6"/>
  <c r="Y51" i="6"/>
  <c r="Y231" i="6"/>
  <c r="X231" i="6"/>
  <c r="X283" i="6"/>
  <c r="Y283" i="6"/>
  <c r="X108" i="6"/>
  <c r="Y108" i="6"/>
  <c r="X76" i="6"/>
  <c r="Y76" i="6"/>
  <c r="Y343" i="6"/>
  <c r="X343" i="6"/>
  <c r="Y360" i="6"/>
  <c r="X360" i="6"/>
  <c r="X129" i="6"/>
  <c r="Y312" i="6"/>
  <c r="X312" i="6"/>
  <c r="X15" i="6" l="1"/>
  <c r="X134" i="6"/>
  <c r="Y205" i="6"/>
  <c r="X139" i="6"/>
  <c r="Y203" i="6"/>
  <c r="Y375" i="6"/>
  <c r="X160" i="6"/>
  <c r="Y320" i="6"/>
  <c r="X344" i="6"/>
  <c r="X269" i="6"/>
  <c r="Y259" i="6"/>
  <c r="Y187" i="6"/>
  <c r="Y52" i="6"/>
  <c r="Y192" i="6"/>
  <c r="Y279" i="6"/>
  <c r="Y149" i="6"/>
  <c r="Y181" i="6"/>
  <c r="Y260" i="6"/>
  <c r="Y31" i="6"/>
  <c r="Y142" i="6"/>
  <c r="Y229" i="6"/>
  <c r="Y271" i="6"/>
  <c r="Y29" i="6"/>
  <c r="Y36" i="6"/>
  <c r="Y53" i="6"/>
  <c r="X240" i="6"/>
  <c r="X204" i="6"/>
  <c r="Y103" i="6"/>
  <c r="Y341" i="6"/>
  <c r="Y307" i="6"/>
  <c r="X30" i="6"/>
  <c r="Y289" i="6"/>
  <c r="Y27" i="6"/>
  <c r="X167" i="6"/>
  <c r="Y318" i="6"/>
  <c r="X377" i="6"/>
  <c r="Y284" i="6"/>
  <c r="X236" i="6"/>
  <c r="Y242" i="6"/>
  <c r="Y353" i="6"/>
  <c r="Y14" i="6"/>
  <c r="X88" i="6"/>
  <c r="X254" i="6"/>
  <c r="X316" i="6"/>
  <c r="Y350" i="6"/>
  <c r="Y68" i="6"/>
  <c r="X141" i="6"/>
  <c r="Y306" i="6"/>
  <c r="Y95" i="6"/>
  <c r="X294" i="6"/>
  <c r="Y128" i="6"/>
  <c r="X216" i="6"/>
  <c r="Y111" i="6"/>
  <c r="Y176" i="6"/>
  <c r="X124" i="6"/>
  <c r="X105" i="6"/>
  <c r="Y355" i="6"/>
  <c r="Y206" i="6"/>
  <c r="X85" i="6"/>
  <c r="X145" i="6"/>
  <c r="Y169" i="6"/>
  <c r="Y308" i="6"/>
  <c r="Y247" i="6"/>
  <c r="X28" i="6"/>
  <c r="X26" i="6"/>
  <c r="X113" i="6"/>
  <c r="Y226" i="6"/>
  <c r="Y101" i="6"/>
  <c r="Y107" i="6"/>
  <c r="X282" i="6"/>
  <c r="X89" i="6"/>
  <c r="Y357" i="6"/>
  <c r="Y138" i="6"/>
  <c r="Y268" i="6"/>
  <c r="Y5" i="6"/>
  <c r="Y317" i="6"/>
  <c r="Y56" i="6"/>
  <c r="Y339" i="6"/>
  <c r="Y258" i="6"/>
  <c r="Y376" i="6"/>
  <c r="X310" i="6"/>
  <c r="Y285" i="6"/>
  <c r="Y188" i="6"/>
  <c r="X148" i="6"/>
  <c r="X246" i="6"/>
  <c r="Y74" i="6"/>
  <c r="Y70" i="6"/>
  <c r="X273" i="6"/>
  <c r="Y354" i="6"/>
  <c r="X99" i="6"/>
  <c r="Y374" i="6"/>
  <c r="X174" i="6"/>
  <c r="X39" i="6"/>
  <c r="X371" i="6"/>
  <c r="X267" i="6"/>
  <c r="Y362" i="6"/>
  <c r="X184" i="6"/>
  <c r="X263" i="6"/>
  <c r="X272" i="6"/>
  <c r="X131" i="6"/>
  <c r="X266" i="6"/>
  <c r="X358" i="6"/>
  <c r="X116" i="6"/>
  <c r="Y265" i="6"/>
  <c r="X185" i="6"/>
  <c r="X333" i="6"/>
  <c r="Y17" i="6"/>
  <c r="X47" i="6"/>
  <c r="X43" i="6"/>
  <c r="Y127" i="6"/>
  <c r="Y233" i="6"/>
  <c r="X324" i="6"/>
  <c r="Y65" i="6"/>
  <c r="X359" i="6"/>
  <c r="X144" i="6"/>
  <c r="Y8" i="6"/>
  <c r="X191" i="6"/>
  <c r="X73" i="6"/>
  <c r="X11" i="6"/>
  <c r="X77" i="6"/>
  <c r="Y98" i="6"/>
  <c r="X270" i="6"/>
  <c r="Y330" i="6"/>
  <c r="Y190" i="6"/>
  <c r="X86" i="6"/>
  <c r="Y102" i="6"/>
  <c r="Y93" i="6"/>
  <c r="X13" i="6"/>
  <c r="Y210" i="6"/>
  <c r="X156" i="6"/>
  <c r="Y123" i="6"/>
  <c r="Y72" i="6"/>
  <c r="Y227" i="6"/>
  <c r="Y179" i="6"/>
  <c r="Y118" i="6"/>
  <c r="X338" i="6"/>
  <c r="X90" i="6"/>
  <c r="Y303" i="6"/>
  <c r="Y120" i="6"/>
  <c r="X96" i="6"/>
  <c r="Y245" i="6"/>
  <c r="Y7" i="6"/>
  <c r="X61" i="6"/>
  <c r="X325" i="6"/>
  <c r="Y349" i="6"/>
  <c r="Y305" i="6"/>
  <c r="X19" i="6"/>
  <c r="Y130" i="6"/>
  <c r="Y215" i="6"/>
  <c r="Y264" i="6"/>
  <c r="X328" i="6"/>
  <c r="X368" i="6"/>
  <c r="Y57" i="6"/>
  <c r="X168" i="6"/>
  <c r="Y62" i="6"/>
  <c r="Y326" i="6"/>
  <c r="Y10" i="6"/>
  <c r="X79" i="6"/>
  <c r="X3" i="6"/>
  <c r="Y132" i="6"/>
  <c r="Y322" i="6"/>
  <c r="X12" i="6"/>
  <c r="X63" i="6"/>
  <c r="Y196" i="6"/>
  <c r="Y153" i="6"/>
  <c r="Y135" i="6"/>
  <c r="X336" i="6"/>
  <c r="Y194" i="6"/>
  <c r="X346" i="6"/>
  <c r="Y347" i="6"/>
  <c r="Y251" i="6"/>
  <c r="Y257" i="6"/>
  <c r="Y147" i="6"/>
  <c r="X300" i="6"/>
  <c r="Y280" i="6"/>
  <c r="Y162" i="6"/>
  <c r="Y301" i="6"/>
  <c r="Y171" i="6"/>
  <c r="X296" i="6"/>
  <c r="X178" i="6"/>
  <c r="X161" i="6"/>
  <c r="Y189" i="6"/>
  <c r="Y199" i="6"/>
  <c r="X239" i="6"/>
  <c r="Y212" i="6"/>
  <c r="X193" i="6"/>
  <c r="Y225" i="6"/>
  <c r="Y41" i="6"/>
  <c r="Y94" i="6"/>
  <c r="Y248" i="6"/>
  <c r="Y175" i="6"/>
  <c r="X173" i="6"/>
  <c r="Y44" i="6"/>
  <c r="X195" i="6"/>
  <c r="X165" i="6"/>
  <c r="Y238" i="6"/>
  <c r="X323" i="6"/>
  <c r="X4" i="6"/>
  <c r="Y6" i="6"/>
  <c r="Y304" i="6"/>
  <c r="Y232" i="6"/>
  <c r="X158" i="6"/>
  <c r="Y220" i="6"/>
  <c r="Y133" i="6"/>
  <c r="X177" i="6"/>
  <c r="Y241" i="6"/>
  <c r="Y154" i="6"/>
  <c r="Y172" i="6"/>
  <c r="Y286" i="6"/>
  <c r="Y287" i="6"/>
  <c r="Y69" i="6"/>
  <c r="X211" i="6"/>
  <c r="Y198" i="6"/>
  <c r="X274" i="6"/>
  <c r="Y217" i="6"/>
  <c r="X243" i="6"/>
  <c r="X75" i="6"/>
  <c r="X380" i="6"/>
  <c r="Y122" i="6"/>
  <c r="Y224" i="6"/>
  <c r="X152" i="6"/>
  <c r="X45" i="6"/>
  <c r="X46" i="6"/>
  <c r="Y331" i="6"/>
  <c r="Y104" i="6"/>
  <c r="Y213" i="6"/>
  <c r="X110" i="6"/>
  <c r="X370" i="6"/>
  <c r="Y80" i="6"/>
  <c r="X91" i="6"/>
  <c r="Y164" i="6"/>
  <c r="Y200" i="6"/>
  <c r="Y277" i="6"/>
  <c r="Y150" i="6"/>
  <c r="Y155" i="6"/>
  <c r="Y16" i="6"/>
  <c r="Y222" i="6"/>
  <c r="Y32" i="6"/>
  <c r="X311" i="6"/>
  <c r="Y180" i="6"/>
  <c r="Y42" i="6"/>
  <c r="X290" i="6"/>
  <c r="Y201" i="6"/>
  <c r="X314" i="6"/>
  <c r="Y262" i="6"/>
  <c r="X292" i="6"/>
  <c r="X66" i="6"/>
  <c r="Y369" i="6"/>
  <c r="Y48" i="6"/>
  <c r="Y114" i="6"/>
  <c r="X166" i="6"/>
  <c r="Y202" i="6"/>
  <c r="X278" i="6"/>
  <c r="X230" i="6"/>
  <c r="Y37" i="6"/>
  <c r="Y219" i="6"/>
  <c r="X49" i="6"/>
  <c r="Y291" i="6"/>
  <c r="X348" i="6"/>
  <c r="Y137" i="6"/>
  <c r="Y84" i="6"/>
  <c r="Y293" i="6"/>
  <c r="Y255" i="6"/>
  <c r="Y59" i="6"/>
  <c r="Y379" i="6"/>
  <c r="Y373" i="6"/>
  <c r="Y313" i="6"/>
  <c r="Y24" i="6"/>
  <c r="Y67" i="6"/>
  <c r="Y25" i="6"/>
  <c r="X337" i="6"/>
  <c r="Y83" i="6"/>
  <c r="Y250" i="6"/>
  <c r="Y365" i="6"/>
  <c r="X60" i="6"/>
  <c r="X117" i="6"/>
  <c r="Y329" i="6"/>
  <c r="Y87" i="6"/>
  <c r="Y22" i="6"/>
  <c r="X20" i="6"/>
  <c r="Y115" i="6"/>
  <c r="X81" i="6"/>
  <c r="X366" i="6"/>
  <c r="X2" i="6"/>
  <c r="X315" i="6"/>
  <c r="X71" i="6"/>
  <c r="X119" i="6"/>
  <c r="Y288" i="6"/>
  <c r="X253" i="6"/>
  <c r="X340" i="6"/>
  <c r="X302" i="6"/>
  <c r="X319" i="6"/>
  <c r="Y218" i="6"/>
  <c r="X352" i="6"/>
  <c r="Y208" i="6"/>
  <c r="Y183" i="6"/>
  <c r="Y298" i="6"/>
  <c r="X157" i="6"/>
  <c r="Y146" i="6"/>
  <c r="Y244" i="6"/>
  <c r="X367" i="6"/>
  <c r="Y275" i="6"/>
  <c r="X55" i="6"/>
  <c r="X299" i="6"/>
  <c r="Y126" i="6"/>
  <c r="Y18" i="6"/>
  <c r="X35" i="6"/>
  <c r="X163" i="6"/>
  <c r="Y92" i="6"/>
  <c r="Y34" i="6"/>
  <c r="Y151" i="6"/>
  <c r="Y97" i="6"/>
  <c r="Y50" i="6"/>
  <c r="X109" i="6"/>
  <c r="X21" i="6"/>
  <c r="Y256" i="6"/>
  <c r="X38" i="6"/>
  <c r="Y252" i="6"/>
  <c r="X54" i="6"/>
  <c r="Y378" i="6"/>
  <c r="Y228" i="6"/>
  <c r="Y281" i="6"/>
  <c r="Y170" i="6"/>
  <c r="Y9" i="6"/>
  <c r="Y221" i="6"/>
  <c r="Y209" i="6"/>
  <c r="X363" i="6"/>
  <c r="X372" i="6"/>
  <c r="X335" i="6"/>
  <c r="X276" i="6"/>
  <c r="Y82" i="6"/>
  <c r="Y345" i="6"/>
  <c r="X186" i="6"/>
  <c r="Y186" i="6"/>
  <c r="Y40" i="6"/>
  <c r="Y234" i="6"/>
  <c r="X33" i="6"/>
  <c r="Y361" i="6"/>
  <c r="Y125" i="6"/>
  <c r="D111" i="1"/>
  <c r="D106" i="1" l="1"/>
  <c r="D107" i="1"/>
  <c r="D98" i="4"/>
  <c r="E91" i="4" l="1"/>
  <c r="D99" i="1" s="1"/>
  <c r="D94" i="4"/>
  <c r="C92" i="4"/>
  <c r="D92" i="4" s="1"/>
  <c r="D97" i="1" s="1"/>
  <c r="E20" i="4"/>
  <c r="D73" i="1" s="1"/>
  <c r="E21" i="4"/>
  <c r="E15" i="4"/>
  <c r="C15" i="4"/>
  <c r="E14" i="4"/>
  <c r="C44" i="4" s="1"/>
  <c r="E43" i="4" s="1"/>
  <c r="C6" i="4"/>
  <c r="C9" i="4" s="1"/>
  <c r="C16" i="4" l="1"/>
  <c r="E16" i="4" s="1"/>
  <c r="E17" i="4" s="1"/>
  <c r="C31" i="4"/>
  <c r="D76" i="1"/>
  <c r="G76" i="1"/>
  <c r="F21" i="4"/>
  <c r="G73" i="1" s="1"/>
  <c r="C121" i="4"/>
  <c r="E7" i="4"/>
  <c r="D72" i="1" l="1"/>
  <c r="F16" i="4"/>
  <c r="F17" i="4" s="1"/>
  <c r="D74" i="1"/>
  <c r="C36" i="4"/>
  <c r="C42" i="4" s="1"/>
  <c r="C32" i="4"/>
  <c r="C18" i="4"/>
  <c r="C19" i="4" s="1"/>
  <c r="C26" i="4"/>
  <c r="D67" i="1" s="1"/>
  <c r="C20" i="4" l="1"/>
  <c r="C25" i="4"/>
  <c r="D66" i="1" s="1"/>
  <c r="C150" i="4"/>
  <c r="D72" i="4"/>
  <c r="D89" i="1" s="1"/>
  <c r="D18" i="4"/>
  <c r="D19" i="4" s="1"/>
  <c r="C76" i="4"/>
  <c r="C79" i="4"/>
  <c r="C51" i="4"/>
  <c r="C127" i="4" s="1"/>
  <c r="N328" i="6" l="1"/>
  <c r="N9" i="6"/>
  <c r="N205" i="6"/>
  <c r="N266" i="6"/>
  <c r="N50" i="6"/>
  <c r="N57" i="6"/>
  <c r="N142" i="6"/>
  <c r="N78" i="6"/>
  <c r="N62" i="6"/>
  <c r="N314" i="6"/>
  <c r="N130" i="6"/>
  <c r="N372" i="6"/>
  <c r="N148" i="6"/>
  <c r="N74" i="6"/>
  <c r="N58" i="6"/>
  <c r="N40" i="6"/>
  <c r="N169" i="6"/>
  <c r="N105" i="6"/>
  <c r="N12" i="6"/>
  <c r="N2" i="6"/>
  <c r="N118" i="6"/>
  <c r="N273" i="6"/>
  <c r="N26" i="6"/>
  <c r="N276" i="6"/>
  <c r="N339" i="6"/>
  <c r="N42" i="6"/>
  <c r="N240" i="6"/>
  <c r="N242" i="6"/>
  <c r="N201" i="6"/>
  <c r="N73" i="6"/>
  <c r="N41" i="6"/>
  <c r="N184" i="6"/>
  <c r="N19" i="6"/>
  <c r="N11" i="6"/>
  <c r="N110" i="6"/>
  <c r="N86" i="6"/>
  <c r="N34" i="6"/>
  <c r="N192" i="6"/>
  <c r="N106" i="6"/>
  <c r="N100" i="6"/>
  <c r="N104" i="6"/>
  <c r="N145" i="6"/>
  <c r="N89" i="6"/>
  <c r="N14" i="6"/>
  <c r="N87" i="6"/>
  <c r="N71" i="6"/>
  <c r="N5" i="6"/>
  <c r="N175" i="6"/>
  <c r="N166" i="6"/>
  <c r="N82" i="6"/>
  <c r="N75" i="6"/>
  <c r="N7" i="6"/>
  <c r="N49" i="6"/>
  <c r="N39" i="6"/>
  <c r="N20" i="6"/>
  <c r="N3" i="6"/>
  <c r="N278" i="6"/>
  <c r="N246" i="6"/>
  <c r="N190" i="6"/>
  <c r="N158" i="6"/>
  <c r="N46" i="6"/>
  <c r="N94" i="6"/>
  <c r="N194" i="6"/>
  <c r="N98" i="6"/>
  <c r="N154" i="6"/>
  <c r="N177" i="6"/>
  <c r="N97" i="6"/>
  <c r="N64" i="6"/>
  <c r="N134" i="6"/>
  <c r="N70" i="6"/>
  <c r="N30" i="6"/>
  <c r="N361" i="6"/>
  <c r="N66" i="6"/>
  <c r="N290" i="6"/>
  <c r="N6" i="6"/>
  <c r="N81" i="6"/>
  <c r="N137" i="6"/>
  <c r="N200" i="6"/>
  <c r="N152" i="6"/>
  <c r="N55" i="6"/>
  <c r="N103" i="6"/>
  <c r="N136" i="6"/>
  <c r="N206" i="6"/>
  <c r="N150" i="6"/>
  <c r="N65" i="6"/>
  <c r="N222" i="6"/>
  <c r="N210" i="6"/>
  <c r="N31" i="6"/>
  <c r="N18" i="6"/>
  <c r="N269" i="6"/>
  <c r="N77" i="6"/>
  <c r="N29" i="6"/>
  <c r="N224" i="6"/>
  <c r="N47" i="6"/>
  <c r="N68" i="6"/>
  <c r="N52" i="6"/>
  <c r="N83" i="6"/>
  <c r="N351" i="6"/>
  <c r="N303" i="6"/>
  <c r="N61" i="6"/>
  <c r="N37" i="6"/>
  <c r="N159" i="6"/>
  <c r="N252" i="6"/>
  <c r="N228" i="6"/>
  <c r="N172" i="6"/>
  <c r="N76" i="6"/>
  <c r="N36" i="6"/>
  <c r="N24" i="6"/>
  <c r="N359" i="6"/>
  <c r="N292" i="6"/>
  <c r="N54" i="6"/>
  <c r="N21" i="6"/>
  <c r="N135" i="6"/>
  <c r="N79" i="6"/>
  <c r="N88" i="6"/>
  <c r="N56" i="6"/>
  <c r="N108" i="6"/>
  <c r="N72" i="6"/>
  <c r="N107" i="6"/>
  <c r="N91" i="6"/>
  <c r="N51" i="6"/>
  <c r="N375" i="6"/>
  <c r="N327" i="6"/>
  <c r="N218" i="6"/>
  <c r="N4" i="6"/>
  <c r="N167" i="6"/>
  <c r="N237" i="6"/>
  <c r="N93" i="6"/>
  <c r="N13" i="6"/>
  <c r="N95" i="6"/>
  <c r="N92" i="6"/>
  <c r="N45" i="6"/>
  <c r="N8" i="6"/>
  <c r="N85" i="6"/>
  <c r="N367" i="6"/>
  <c r="N178" i="6"/>
  <c r="N63" i="6"/>
  <c r="N48" i="6"/>
  <c r="N261" i="6"/>
  <c r="N69" i="6"/>
  <c r="N143" i="6"/>
  <c r="N25" i="6"/>
  <c r="N17" i="6"/>
  <c r="N180" i="6"/>
  <c r="N60" i="6"/>
  <c r="N27" i="6"/>
  <c r="N198" i="6"/>
  <c r="N90" i="6"/>
  <c r="N272" i="6"/>
  <c r="N151" i="6"/>
  <c r="N213" i="6"/>
  <c r="N220" i="6"/>
  <c r="N84" i="6"/>
  <c r="N44" i="6"/>
  <c r="N111" i="6"/>
  <c r="N99" i="6"/>
  <c r="N59" i="6"/>
  <c r="N22" i="6"/>
  <c r="N38" i="6"/>
  <c r="N23" i="6"/>
  <c r="N102" i="6"/>
  <c r="N109" i="6"/>
  <c r="N53" i="6"/>
  <c r="N96" i="6"/>
  <c r="N176" i="6"/>
  <c r="N183" i="6"/>
  <c r="N284" i="6"/>
  <c r="N124" i="6"/>
  <c r="N67" i="6"/>
  <c r="N368" i="6"/>
  <c r="N335" i="6"/>
  <c r="N238" i="6"/>
  <c r="N288" i="6"/>
  <c r="N80" i="6"/>
  <c r="N10" i="6"/>
  <c r="N253" i="6"/>
  <c r="N229" i="6"/>
  <c r="N101" i="6"/>
  <c r="N28" i="6"/>
  <c r="N16" i="6"/>
  <c r="N43" i="6"/>
  <c r="N352" i="6"/>
  <c r="N326" i="6"/>
  <c r="N357" i="6"/>
  <c r="N308" i="6"/>
  <c r="N300" i="6"/>
  <c r="N371" i="6"/>
  <c r="N355" i="6"/>
  <c r="N346" i="6"/>
  <c r="N298" i="6"/>
  <c r="N239" i="6"/>
  <c r="N231" i="6"/>
  <c r="N227" i="6"/>
  <c r="N289" i="6"/>
  <c r="N374" i="6"/>
  <c r="N334" i="6"/>
  <c r="N293" i="6"/>
  <c r="N380" i="6"/>
  <c r="N340" i="6"/>
  <c r="N296" i="6"/>
  <c r="N330" i="6"/>
  <c r="N358" i="6"/>
  <c r="N377" i="6"/>
  <c r="N215" i="6"/>
  <c r="N243" i="6"/>
  <c r="N287" i="6"/>
  <c r="N343" i="6"/>
  <c r="N342" i="6"/>
  <c r="N294" i="6"/>
  <c r="N320" i="6"/>
  <c r="N364" i="6"/>
  <c r="N307" i="6"/>
  <c r="N311" i="6"/>
  <c r="N354" i="6"/>
  <c r="N306" i="6"/>
  <c r="N336" i="6"/>
  <c r="N304" i="6"/>
  <c r="N337" i="6"/>
  <c r="N305" i="6"/>
  <c r="N263" i="6"/>
  <c r="N247" i="6"/>
  <c r="N251" i="6"/>
  <c r="N265" i="6"/>
  <c r="N295" i="6"/>
  <c r="N381" i="6"/>
  <c r="N365" i="6"/>
  <c r="N341" i="6"/>
  <c r="N324" i="6"/>
  <c r="N344" i="6"/>
  <c r="N379" i="6"/>
  <c r="N345" i="6"/>
  <c r="N313" i="6"/>
  <c r="N297" i="6"/>
  <c r="N283" i="6"/>
  <c r="N211" i="6"/>
  <c r="N223" i="6"/>
  <c r="N319" i="6"/>
  <c r="N366" i="6"/>
  <c r="N310" i="6"/>
  <c r="N325" i="6"/>
  <c r="N348" i="6"/>
  <c r="N363" i="6"/>
  <c r="N315" i="6"/>
  <c r="N362" i="6"/>
  <c r="N369" i="6"/>
  <c r="N353" i="6"/>
  <c r="N207" i="6"/>
  <c r="N281" i="6"/>
  <c r="N350" i="6"/>
  <c r="N373" i="6"/>
  <c r="N301" i="6"/>
  <c r="N376" i="6"/>
  <c r="N312" i="6"/>
  <c r="N323" i="6"/>
  <c r="N299" i="6"/>
  <c r="N338" i="6"/>
  <c r="N322" i="6"/>
  <c r="N275" i="6"/>
  <c r="N235" i="6"/>
  <c r="N318" i="6"/>
  <c r="N360" i="6"/>
  <c r="N317" i="6"/>
  <c r="N356" i="6"/>
  <c r="N316" i="6"/>
  <c r="N378" i="6"/>
  <c r="N329" i="6"/>
  <c r="N271" i="6"/>
  <c r="N267" i="6"/>
  <c r="N259" i="6"/>
  <c r="N255" i="6"/>
  <c r="N257" i="6"/>
  <c r="N349" i="6"/>
  <c r="N249" i="6"/>
  <c r="N233" i="6"/>
  <c r="N216" i="6"/>
  <c r="N280" i="6"/>
  <c r="N179" i="6"/>
  <c r="N163" i="6"/>
  <c r="N139" i="6"/>
  <c r="N155" i="6"/>
  <c r="N140" i="6"/>
  <c r="N193" i="6"/>
  <c r="N138" i="6"/>
  <c r="N191" i="6"/>
  <c r="N122" i="6"/>
  <c r="N302" i="6"/>
  <c r="N333" i="6"/>
  <c r="N291" i="6"/>
  <c r="N285" i="6"/>
  <c r="N232" i="6"/>
  <c r="N245" i="6"/>
  <c r="N248" i="6"/>
  <c r="N221" i="6"/>
  <c r="N264" i="6"/>
  <c r="N256" i="6"/>
  <c r="N204" i="6"/>
  <c r="N181" i="6"/>
  <c r="N146" i="6"/>
  <c r="N144" i="6"/>
  <c r="N115" i="6"/>
  <c r="N119" i="6"/>
  <c r="N332" i="6"/>
  <c r="N347" i="6"/>
  <c r="N321" i="6"/>
  <c r="N219" i="6"/>
  <c r="N225" i="6"/>
  <c r="N209" i="6"/>
  <c r="N282" i="6"/>
  <c r="N234" i="6"/>
  <c r="N268" i="6"/>
  <c r="N236" i="6"/>
  <c r="N274" i="6"/>
  <c r="N212" i="6"/>
  <c r="N171" i="6"/>
  <c r="N133" i="6"/>
  <c r="N164" i="6"/>
  <c r="N188" i="6"/>
  <c r="N185" i="6"/>
  <c r="N160" i="6"/>
  <c r="N131" i="6"/>
  <c r="N309" i="6"/>
  <c r="N370" i="6"/>
  <c r="N258" i="6"/>
  <c r="N277" i="6"/>
  <c r="N250" i="6"/>
  <c r="N208" i="6"/>
  <c r="N197" i="6"/>
  <c r="N189" i="6"/>
  <c r="N157" i="6"/>
  <c r="N161" i="6"/>
  <c r="N162" i="6"/>
  <c r="N132" i="6"/>
  <c r="N331" i="6"/>
  <c r="N279" i="6"/>
  <c r="N241" i="6"/>
  <c r="N230" i="6"/>
  <c r="N173" i="6"/>
  <c r="N195" i="6"/>
  <c r="N147" i="6"/>
  <c r="N186" i="6"/>
  <c r="N182" i="6"/>
  <c r="N156" i="6"/>
  <c r="N170" i="6"/>
  <c r="N214" i="6"/>
  <c r="N286" i="6"/>
  <c r="N226" i="6"/>
  <c r="N260" i="6"/>
  <c r="N202" i="6"/>
  <c r="N165" i="6"/>
  <c r="N141" i="6"/>
  <c r="N199" i="6"/>
  <c r="N153" i="6"/>
  <c r="N125" i="6"/>
  <c r="N217" i="6"/>
  <c r="N270" i="6"/>
  <c r="N244" i="6"/>
  <c r="N262" i="6"/>
  <c r="N254" i="6"/>
  <c r="N196" i="6"/>
  <c r="N174" i="6"/>
  <c r="N149" i="6"/>
  <c r="N203" i="6"/>
  <c r="N121" i="6"/>
  <c r="N127" i="6"/>
  <c r="N113" i="6"/>
  <c r="N112" i="6"/>
  <c r="N35" i="6"/>
  <c r="N126" i="6"/>
  <c r="N123" i="6"/>
  <c r="N120" i="6"/>
  <c r="N114" i="6"/>
  <c r="N168" i="6"/>
  <c r="N117" i="6"/>
  <c r="N15" i="6"/>
  <c r="N187" i="6"/>
  <c r="N116" i="6"/>
  <c r="N32" i="6"/>
  <c r="N128" i="6"/>
  <c r="N129" i="6"/>
  <c r="N33" i="6"/>
  <c r="C21" i="4"/>
  <c r="D68" i="1"/>
  <c r="E43" i="1" l="1"/>
  <c r="E42" i="1"/>
  <c r="E40" i="1"/>
  <c r="K3" i="2"/>
  <c r="L3" i="2"/>
  <c r="M3" i="2" l="1"/>
  <c r="J4" i="2" s="1"/>
  <c r="F19" i="1" s="1"/>
  <c r="F91" i="4" l="1"/>
  <c r="E99" i="1" s="1"/>
  <c r="D54" i="1"/>
  <c r="C33" i="4" l="1"/>
  <c r="C34" i="4" s="1"/>
  <c r="D46" i="4" s="1"/>
  <c r="C22" i="4"/>
  <c r="C7" i="4"/>
  <c r="C8" i="4" s="1"/>
  <c r="C10" i="4" s="1"/>
  <c r="D10" i="4" s="1"/>
  <c r="F10" i="4" s="1"/>
  <c r="E62" i="1" s="1"/>
  <c r="C37" i="4" l="1"/>
  <c r="C53" i="4" s="1"/>
  <c r="F46" i="4"/>
  <c r="E75" i="1" s="1"/>
  <c r="C23" i="4"/>
  <c r="C24" i="4"/>
  <c r="C120" i="4" s="1"/>
  <c r="E10" i="4"/>
  <c r="D62" i="1" s="1"/>
  <c r="C126" i="4" l="1"/>
  <c r="C146" i="4" s="1"/>
  <c r="O237" i="6" s="1"/>
  <c r="C64" i="4"/>
  <c r="C148" i="4"/>
  <c r="L353" i="6" s="1"/>
  <c r="C40" i="4"/>
  <c r="C143" i="4"/>
  <c r="D134" i="6" s="1"/>
  <c r="C80" i="4"/>
  <c r="C81" i="4" s="1"/>
  <c r="C82" i="4" s="1"/>
  <c r="C83" i="4" s="1"/>
  <c r="C77" i="4" s="1"/>
  <c r="C125" i="4"/>
  <c r="E38" i="4"/>
  <c r="E40" i="4"/>
  <c r="E46" i="4"/>
  <c r="D75" i="1" s="1"/>
  <c r="C39" i="4"/>
  <c r="D45" i="4"/>
  <c r="F45" i="4" s="1"/>
  <c r="E69" i="1" s="1"/>
  <c r="O142" i="6" l="1"/>
  <c r="O215" i="6"/>
  <c r="O73" i="6"/>
  <c r="O190" i="6"/>
  <c r="O358" i="6"/>
  <c r="O270" i="6"/>
  <c r="O57" i="6"/>
  <c r="O216" i="6"/>
  <c r="O301" i="6"/>
  <c r="O238" i="6"/>
  <c r="O86" i="6"/>
  <c r="O357" i="6"/>
  <c r="O164" i="6"/>
  <c r="O5" i="6"/>
  <c r="O242" i="6"/>
  <c r="O340" i="6"/>
  <c r="O180" i="6"/>
  <c r="O266" i="6"/>
  <c r="O16" i="6"/>
  <c r="O9" i="6"/>
  <c r="O286" i="6"/>
  <c r="O118" i="6"/>
  <c r="O42" i="6"/>
  <c r="O290" i="6"/>
  <c r="O18" i="6"/>
  <c r="O209" i="6"/>
  <c r="O173" i="6"/>
  <c r="O99" i="6"/>
  <c r="O22" i="6"/>
  <c r="O255" i="6"/>
  <c r="O230" i="6"/>
  <c r="O128" i="6"/>
  <c r="O104" i="6"/>
  <c r="O343" i="6"/>
  <c r="O241" i="6"/>
  <c r="O374" i="6"/>
  <c r="O350" i="6"/>
  <c r="O342" i="6"/>
  <c r="O275" i="6"/>
  <c r="O158" i="6"/>
  <c r="O245" i="6"/>
  <c r="O170" i="6"/>
  <c r="O287" i="6"/>
  <c r="O212" i="6"/>
  <c r="O300" i="6"/>
  <c r="O306" i="6"/>
  <c r="O364" i="6"/>
  <c r="O12" i="6"/>
  <c r="O108" i="6"/>
  <c r="O291" i="6"/>
  <c r="O223" i="6"/>
  <c r="O321" i="6"/>
  <c r="O87" i="6"/>
  <c r="O29" i="6"/>
  <c r="O371" i="6"/>
  <c r="O349" i="6"/>
  <c r="O239" i="6"/>
  <c r="O44" i="6"/>
  <c r="O221" i="6"/>
  <c r="O146" i="6"/>
  <c r="O360" i="6"/>
  <c r="O289" i="6"/>
  <c r="O179" i="6"/>
  <c r="O143" i="6"/>
  <c r="O94" i="6"/>
  <c r="O89" i="6"/>
  <c r="O55" i="6"/>
  <c r="O151" i="6"/>
  <c r="O157" i="6"/>
  <c r="O191" i="6"/>
  <c r="O120" i="6"/>
  <c r="O49" i="6"/>
  <c r="O183" i="6"/>
  <c r="O116" i="6"/>
  <c r="O97" i="6"/>
  <c r="O226" i="6"/>
  <c r="O187" i="6"/>
  <c r="O145" i="6"/>
  <c r="O40" i="6"/>
  <c r="O177" i="6"/>
  <c r="O269" i="6"/>
  <c r="O207" i="6"/>
  <c r="O186" i="6"/>
  <c r="O318" i="6"/>
  <c r="O111" i="6"/>
  <c r="O81" i="6"/>
  <c r="O14" i="6"/>
  <c r="O6" i="6"/>
  <c r="O10" i="6"/>
  <c r="O33" i="6"/>
  <c r="O233" i="6"/>
  <c r="O297" i="6"/>
  <c r="O100" i="6"/>
  <c r="O30" i="6"/>
  <c r="O121" i="6"/>
  <c r="O311" i="6"/>
  <c r="O345" i="6"/>
  <c r="O256" i="6"/>
  <c r="O197" i="6"/>
  <c r="O148" i="6"/>
  <c r="O379" i="6"/>
  <c r="O75" i="6"/>
  <c r="O304" i="6"/>
  <c r="O144" i="6"/>
  <c r="O171" i="6"/>
  <c r="O129" i="6"/>
  <c r="O7" i="6"/>
  <c r="O169" i="6"/>
  <c r="O28" i="6"/>
  <c r="O344" i="6"/>
  <c r="O328" i="6"/>
  <c r="O27" i="6"/>
  <c r="O227" i="6"/>
  <c r="O248" i="6"/>
  <c r="O323" i="6"/>
  <c r="O34" i="6"/>
  <c r="O113" i="6"/>
  <c r="O200" i="6"/>
  <c r="O339" i="6"/>
  <c r="O367" i="6"/>
  <c r="O54" i="6"/>
  <c r="O228" i="6"/>
  <c r="O125" i="6"/>
  <c r="O260" i="6"/>
  <c r="O376" i="6"/>
  <c r="O106" i="6"/>
  <c r="O313" i="6"/>
  <c r="O117" i="6"/>
  <c r="O302" i="6"/>
  <c r="O231" i="6"/>
  <c r="O63" i="6"/>
  <c r="O90" i="6"/>
  <c r="O259" i="6"/>
  <c r="O112" i="6"/>
  <c r="O220" i="6"/>
  <c r="O88" i="6"/>
  <c r="O46" i="6"/>
  <c r="O163" i="6"/>
  <c r="O80" i="6"/>
  <c r="O20" i="6"/>
  <c r="O240" i="6"/>
  <c r="O76" i="6"/>
  <c r="O211" i="6"/>
  <c r="O83" i="6"/>
  <c r="O257" i="6"/>
  <c r="O123" i="6"/>
  <c r="O282" i="6"/>
  <c r="O161" i="6"/>
  <c r="O292" i="6"/>
  <c r="O98" i="6"/>
  <c r="O134" i="6"/>
  <c r="O320" i="6"/>
  <c r="O202" i="6"/>
  <c r="O363" i="6"/>
  <c r="O288" i="6"/>
  <c r="O354" i="6"/>
  <c r="O78" i="6"/>
  <c r="O352" i="6"/>
  <c r="O17" i="6"/>
  <c r="O252" i="6"/>
  <c r="O77" i="6"/>
  <c r="O271" i="6"/>
  <c r="O176" i="6"/>
  <c r="O331" i="6"/>
  <c r="O314" i="6"/>
  <c r="O295" i="6"/>
  <c r="O278" i="6"/>
  <c r="O110" i="6"/>
  <c r="O299" i="6"/>
  <c r="O26" i="6"/>
  <c r="O132" i="6"/>
  <c r="O309" i="6"/>
  <c r="O61" i="6"/>
  <c r="O232" i="6"/>
  <c r="O263" i="6"/>
  <c r="O91" i="6"/>
  <c r="O67" i="6"/>
  <c r="O64" i="6"/>
  <c r="O337" i="6"/>
  <c r="O60" i="6"/>
  <c r="O258" i="6"/>
  <c r="O147" i="6"/>
  <c r="O172" i="6"/>
  <c r="O365" i="6"/>
  <c r="O36" i="6"/>
  <c r="O189" i="6"/>
  <c r="O56" i="6"/>
  <c r="O332" i="6"/>
  <c r="O298" i="6"/>
  <c r="O45" i="6"/>
  <c r="O247" i="6"/>
  <c r="O326" i="6"/>
  <c r="O103" i="6"/>
  <c r="O264" i="6"/>
  <c r="O39" i="6"/>
  <c r="O38" i="6"/>
  <c r="O122" i="6"/>
  <c r="O294" i="6"/>
  <c r="O280" i="6"/>
  <c r="O208" i="6"/>
  <c r="O315" i="6"/>
  <c r="O70" i="6"/>
  <c r="O229" i="6"/>
  <c r="O305" i="6"/>
  <c r="O368" i="6"/>
  <c r="O210" i="6"/>
  <c r="O267" i="6"/>
  <c r="O285" i="6"/>
  <c r="O325" i="6"/>
  <c r="O347" i="6"/>
  <c r="O154" i="6"/>
  <c r="O359" i="6"/>
  <c r="O205" i="6"/>
  <c r="O71" i="6"/>
  <c r="O58" i="6"/>
  <c r="O178" i="6"/>
  <c r="O277" i="6"/>
  <c r="O235" i="6"/>
  <c r="O296" i="6"/>
  <c r="O160" i="6"/>
  <c r="O93" i="6"/>
  <c r="O308" i="6"/>
  <c r="O253" i="6"/>
  <c r="O141" i="6"/>
  <c r="O155" i="6"/>
  <c r="O346" i="6"/>
  <c r="O21" i="6"/>
  <c r="O380" i="6"/>
  <c r="O23" i="6"/>
  <c r="O131" i="6"/>
  <c r="O25" i="6"/>
  <c r="O225" i="6"/>
  <c r="O150" i="6"/>
  <c r="O307" i="6"/>
  <c r="O82" i="6"/>
  <c r="O166" i="6"/>
  <c r="O327" i="6"/>
  <c r="O362" i="6"/>
  <c r="O254" i="6"/>
  <c r="O322" i="6"/>
  <c r="O52" i="6"/>
  <c r="O198" i="6"/>
  <c r="O316" i="6"/>
  <c r="O283" i="6"/>
  <c r="O165" i="6"/>
  <c r="O119" i="6"/>
  <c r="O310" i="6"/>
  <c r="O262" i="6"/>
  <c r="O333" i="6"/>
  <c r="O281" i="6"/>
  <c r="O244" i="6"/>
  <c r="O268" i="6"/>
  <c r="O168" i="6"/>
  <c r="O203" i="6"/>
  <c r="O261" i="6"/>
  <c r="O19" i="6"/>
  <c r="O274" i="6"/>
  <c r="O47" i="6"/>
  <c r="O355" i="6"/>
  <c r="O195" i="6"/>
  <c r="O272" i="6"/>
  <c r="O115" i="6"/>
  <c r="O167" i="6"/>
  <c r="O126" i="6"/>
  <c r="O101" i="6"/>
  <c r="O139" i="6"/>
  <c r="O184" i="6"/>
  <c r="O51" i="6"/>
  <c r="O11" i="6"/>
  <c r="O312" i="6"/>
  <c r="O3" i="6"/>
  <c r="O219" i="6"/>
  <c r="O336" i="6"/>
  <c r="O13" i="6"/>
  <c r="O194" i="6"/>
  <c r="O8" i="6"/>
  <c r="O37" i="6"/>
  <c r="O107" i="6"/>
  <c r="O279" i="6"/>
  <c r="O35" i="6"/>
  <c r="O353" i="6"/>
  <c r="O102" i="6"/>
  <c r="O140" i="6"/>
  <c r="O236" i="6"/>
  <c r="O130" i="6"/>
  <c r="O59" i="6"/>
  <c r="O351" i="6"/>
  <c r="O204" i="6"/>
  <c r="O196" i="6"/>
  <c r="O234" i="6"/>
  <c r="O72" i="6"/>
  <c r="O276" i="6"/>
  <c r="O293" i="6"/>
  <c r="O193" i="6"/>
  <c r="O138" i="6"/>
  <c r="O370" i="6"/>
  <c r="O133" i="6"/>
  <c r="O136" i="6"/>
  <c r="O303" i="6"/>
  <c r="O249" i="6"/>
  <c r="O206" i="6"/>
  <c r="O181" i="6"/>
  <c r="O68" i="6"/>
  <c r="O66" i="6"/>
  <c r="O375" i="6"/>
  <c r="O188" i="6"/>
  <c r="O217" i="6"/>
  <c r="O199" i="6"/>
  <c r="O185" i="6"/>
  <c r="O69" i="6"/>
  <c r="O84" i="6"/>
  <c r="O62" i="6"/>
  <c r="O366" i="6"/>
  <c r="O32" i="6"/>
  <c r="O65" i="6"/>
  <c r="O341" i="6"/>
  <c r="O361" i="6"/>
  <c r="O338" i="6"/>
  <c r="O85" i="6"/>
  <c r="O152" i="6"/>
  <c r="O24" i="6"/>
  <c r="O162" i="6"/>
  <c r="O50" i="6"/>
  <c r="O159" i="6"/>
  <c r="O15" i="6"/>
  <c r="O48" i="6"/>
  <c r="O137" i="6"/>
  <c r="O329" i="6"/>
  <c r="O201" i="6"/>
  <c r="O251" i="6"/>
  <c r="O96" i="6"/>
  <c r="O373" i="6"/>
  <c r="O356" i="6"/>
  <c r="O330" i="6"/>
  <c r="O335" i="6"/>
  <c r="O114" i="6"/>
  <c r="O53" i="6"/>
  <c r="O372" i="6"/>
  <c r="O109" i="6"/>
  <c r="O124" i="6"/>
  <c r="O214" i="6"/>
  <c r="O2" i="6"/>
  <c r="O182" i="6"/>
  <c r="O378" i="6"/>
  <c r="O273" i="6"/>
  <c r="O41" i="6"/>
  <c r="O175" i="6"/>
  <c r="O95" i="6"/>
  <c r="O218" i="6"/>
  <c r="O324" i="6"/>
  <c r="O246" i="6"/>
  <c r="O250" i="6"/>
  <c r="O4" i="6"/>
  <c r="O156" i="6"/>
  <c r="O222" i="6"/>
  <c r="O284" i="6"/>
  <c r="O92" i="6"/>
  <c r="O381" i="6"/>
  <c r="O265" i="6"/>
  <c r="O153" i="6"/>
  <c r="O43" i="6"/>
  <c r="O369" i="6"/>
  <c r="O224" i="6"/>
  <c r="O149" i="6"/>
  <c r="O192" i="6"/>
  <c r="O31" i="6"/>
  <c r="O317" i="6"/>
  <c r="O334" i="6"/>
  <c r="O174" i="6"/>
  <c r="O243" i="6"/>
  <c r="O377" i="6"/>
  <c r="O127" i="6"/>
  <c r="O135" i="6"/>
  <c r="O348" i="6"/>
  <c r="O213" i="6"/>
  <c r="O74" i="6"/>
  <c r="O79" i="6"/>
  <c r="D35" i="6"/>
  <c r="D142" i="6"/>
  <c r="O319" i="6"/>
  <c r="O105" i="6"/>
  <c r="D169" i="6"/>
  <c r="D266" i="6"/>
  <c r="D369" i="6"/>
  <c r="D19" i="6"/>
  <c r="D66" i="6"/>
  <c r="D112" i="6"/>
  <c r="D359" i="6"/>
  <c r="D13" i="6"/>
  <c r="D361" i="6"/>
  <c r="D6" i="6"/>
  <c r="D181" i="6"/>
  <c r="D249" i="6"/>
  <c r="D365" i="6"/>
  <c r="D176" i="6"/>
  <c r="D357" i="6"/>
  <c r="D214" i="6"/>
  <c r="D199" i="6"/>
  <c r="D53" i="6"/>
  <c r="D165" i="6"/>
  <c r="D364" i="6"/>
  <c r="D381" i="6"/>
  <c r="D222" i="6"/>
  <c r="D44" i="6"/>
  <c r="D32" i="6"/>
  <c r="D149" i="6"/>
  <c r="D314" i="6"/>
  <c r="D42" i="6"/>
  <c r="D70" i="6"/>
  <c r="D83" i="6"/>
  <c r="D125" i="6"/>
  <c r="D278" i="6"/>
  <c r="D213" i="6"/>
  <c r="D192" i="6"/>
  <c r="D184" i="6"/>
  <c r="D56" i="6"/>
  <c r="D340" i="6"/>
  <c r="D28" i="6"/>
  <c r="D295" i="6"/>
  <c r="D282" i="6"/>
  <c r="D182" i="6"/>
  <c r="D124" i="6"/>
  <c r="D123" i="6"/>
  <c r="D247" i="6"/>
  <c r="D191" i="6"/>
  <c r="D146" i="6"/>
  <c r="D267" i="6"/>
  <c r="D374" i="6"/>
  <c r="D223" i="6"/>
  <c r="D313" i="6"/>
  <c r="D362" i="6"/>
  <c r="D220" i="6"/>
  <c r="D127" i="6"/>
  <c r="D101" i="6"/>
  <c r="D126" i="6"/>
  <c r="D196" i="6"/>
  <c r="D52" i="6"/>
  <c r="D141" i="6"/>
  <c r="D262" i="6"/>
  <c r="D22" i="6"/>
  <c r="D62" i="6"/>
  <c r="D64" i="6"/>
  <c r="D331" i="6"/>
  <c r="D51" i="6"/>
  <c r="D58" i="6"/>
  <c r="D304" i="6"/>
  <c r="D171" i="6"/>
  <c r="D254" i="6"/>
  <c r="D367" i="6"/>
  <c r="D343" i="6"/>
  <c r="D60" i="6"/>
  <c r="D49" i="6"/>
  <c r="D219" i="6"/>
  <c r="D310" i="6"/>
  <c r="D85" i="6"/>
  <c r="D242" i="6"/>
  <c r="D47" i="6"/>
  <c r="D344" i="6"/>
  <c r="D324" i="6"/>
  <c r="D312" i="6"/>
  <c r="D31" i="6"/>
  <c r="D150" i="6"/>
  <c r="D250" i="6"/>
  <c r="D232" i="6"/>
  <c r="D177" i="6"/>
  <c r="D379" i="6"/>
  <c r="D263" i="6"/>
  <c r="D99" i="6"/>
  <c r="D156" i="6"/>
  <c r="D204" i="6"/>
  <c r="D48" i="6"/>
  <c r="D180" i="6"/>
  <c r="D246" i="6"/>
  <c r="D72" i="6"/>
  <c r="D11" i="6"/>
  <c r="D284" i="6"/>
  <c r="D5" i="6"/>
  <c r="D224" i="6"/>
  <c r="D139" i="6"/>
  <c r="D372" i="6"/>
  <c r="D63" i="6"/>
  <c r="D330" i="6"/>
  <c r="D301" i="6"/>
  <c r="D218" i="6"/>
  <c r="D287" i="6"/>
  <c r="D23" i="6"/>
  <c r="D114" i="6"/>
  <c r="D265" i="6"/>
  <c r="D43" i="6"/>
  <c r="D79" i="6"/>
  <c r="D355" i="6"/>
  <c r="D173" i="6"/>
  <c r="D46" i="6"/>
  <c r="D315" i="6"/>
  <c r="D377" i="6"/>
  <c r="D116" i="6"/>
  <c r="D236" i="6"/>
  <c r="D269" i="6"/>
  <c r="D12" i="6"/>
  <c r="D279" i="6"/>
  <c r="D136" i="6"/>
  <c r="D97" i="6"/>
  <c r="D326" i="6"/>
  <c r="D186" i="6"/>
  <c r="D133" i="6"/>
  <c r="D17" i="6"/>
  <c r="D166" i="6"/>
  <c r="D319" i="6"/>
  <c r="D108" i="6"/>
  <c r="D14" i="6"/>
  <c r="D289" i="6"/>
  <c r="D34" i="6"/>
  <c r="D138" i="6"/>
  <c r="D309" i="6"/>
  <c r="D208" i="6"/>
  <c r="D73" i="6"/>
  <c r="D253" i="6"/>
  <c r="D260" i="6"/>
  <c r="D21" i="6"/>
  <c r="D15" i="6"/>
  <c r="D100" i="6"/>
  <c r="D229" i="6"/>
  <c r="D178" i="6"/>
  <c r="D290" i="6"/>
  <c r="D351" i="6"/>
  <c r="D130" i="6"/>
  <c r="D94" i="6"/>
  <c r="L127" i="6"/>
  <c r="D294" i="6"/>
  <c r="D54" i="6"/>
  <c r="D256" i="6"/>
  <c r="D210" i="6"/>
  <c r="D132" i="6"/>
  <c r="D155" i="6"/>
  <c r="D119" i="6"/>
  <c r="D285" i="6"/>
  <c r="D200" i="6"/>
  <c r="D275" i="6"/>
  <c r="D283" i="6"/>
  <c r="D292" i="6"/>
  <c r="D16" i="6"/>
  <c r="D302" i="6"/>
  <c r="D153" i="6"/>
  <c r="D288" i="6"/>
  <c r="D215" i="6"/>
  <c r="D305" i="6"/>
  <c r="D115" i="6"/>
  <c r="D159" i="6"/>
  <c r="D337" i="6"/>
  <c r="D80" i="6"/>
  <c r="D161" i="6"/>
  <c r="D303" i="6"/>
  <c r="L42" i="6"/>
  <c r="D187" i="6"/>
  <c r="D325" i="6"/>
  <c r="D135" i="6"/>
  <c r="D18" i="6"/>
  <c r="D40" i="6"/>
  <c r="D276" i="6"/>
  <c r="D140" i="6"/>
  <c r="D50" i="6"/>
  <c r="D106" i="6"/>
  <c r="D376" i="6"/>
  <c r="D280" i="6"/>
  <c r="D244" i="6"/>
  <c r="D231" i="6"/>
  <c r="D255" i="6"/>
  <c r="D228" i="6"/>
  <c r="D363" i="6"/>
  <c r="D111" i="6"/>
  <c r="D151" i="6"/>
  <c r="D38" i="6"/>
  <c r="D230" i="6"/>
  <c r="D360" i="6"/>
  <c r="D353" i="6"/>
  <c r="D8" i="6"/>
  <c r="D308" i="6"/>
  <c r="D7" i="6"/>
  <c r="D27" i="6"/>
  <c r="D121" i="6"/>
  <c r="D268" i="6"/>
  <c r="D193" i="6"/>
  <c r="D245" i="6"/>
  <c r="D84" i="6"/>
  <c r="D102" i="6"/>
  <c r="D164" i="6"/>
  <c r="D320" i="6"/>
  <c r="D240" i="6"/>
  <c r="D77" i="6"/>
  <c r="D272" i="6"/>
  <c r="D321" i="6"/>
  <c r="D37" i="6"/>
  <c r="D45" i="6"/>
  <c r="D273" i="6"/>
  <c r="D197" i="6"/>
  <c r="D90" i="6"/>
  <c r="D212" i="6"/>
  <c r="D9" i="6"/>
  <c r="D207" i="6"/>
  <c r="D174" i="6"/>
  <c r="D74" i="6"/>
  <c r="D41" i="6"/>
  <c r="D274" i="6"/>
  <c r="D356" i="6"/>
  <c r="D55" i="6"/>
  <c r="D20" i="6"/>
  <c r="D378" i="6"/>
  <c r="D158" i="6"/>
  <c r="D24" i="6"/>
  <c r="D202" i="6"/>
  <c r="D195" i="6"/>
  <c r="D333" i="6"/>
  <c r="D147" i="6"/>
  <c r="D113" i="6"/>
  <c r="D86" i="6"/>
  <c r="D68" i="6"/>
  <c r="D4" i="6"/>
  <c r="D339" i="6"/>
  <c r="D117" i="6"/>
  <c r="D264" i="6"/>
  <c r="D75" i="6"/>
  <c r="D261" i="6"/>
  <c r="D109" i="6"/>
  <c r="D188" i="6"/>
  <c r="D168" i="6"/>
  <c r="D332" i="6"/>
  <c r="D2" i="6"/>
  <c r="D271" i="6"/>
  <c r="D258" i="6"/>
  <c r="D248" i="6"/>
  <c r="D107" i="6"/>
  <c r="D323" i="6"/>
  <c r="D234" i="6"/>
  <c r="D352" i="6"/>
  <c r="D170" i="6"/>
  <c r="D277" i="6"/>
  <c r="D162" i="6"/>
  <c r="D354" i="6"/>
  <c r="D172" i="6"/>
  <c r="D375" i="6"/>
  <c r="D286" i="6"/>
  <c r="D29" i="6"/>
  <c r="D298" i="6"/>
  <c r="D71" i="6"/>
  <c r="D293" i="6"/>
  <c r="D270" i="6"/>
  <c r="D145" i="6"/>
  <c r="D82" i="6"/>
  <c r="D349" i="6"/>
  <c r="D152" i="6"/>
  <c r="D76" i="6"/>
  <c r="D154" i="6"/>
  <c r="D257" i="6"/>
  <c r="D373" i="6"/>
  <c r="D217" i="6"/>
  <c r="D235" i="6"/>
  <c r="D179" i="6"/>
  <c r="D345" i="6"/>
  <c r="D329" i="6"/>
  <c r="D57" i="6"/>
  <c r="D341" i="6"/>
  <c r="D194" i="6"/>
  <c r="D350" i="6"/>
  <c r="D122" i="6"/>
  <c r="D342" i="6"/>
  <c r="D185" i="6"/>
  <c r="D299" i="6"/>
  <c r="D183" i="6"/>
  <c r="D148" i="6"/>
  <c r="D189" i="6"/>
  <c r="D120" i="6"/>
  <c r="D221" i="6"/>
  <c r="D163" i="6"/>
  <c r="D67" i="6"/>
  <c r="D348" i="6"/>
  <c r="D281" i="6"/>
  <c r="D297" i="6"/>
  <c r="D65" i="6"/>
  <c r="D167" i="6"/>
  <c r="D243" i="6"/>
  <c r="D211" i="6"/>
  <c r="D157" i="6"/>
  <c r="D92" i="6"/>
  <c r="D110" i="6"/>
  <c r="D129" i="6"/>
  <c r="D69" i="6"/>
  <c r="D160" i="6"/>
  <c r="D368" i="6"/>
  <c r="D87" i="6"/>
  <c r="D227" i="6"/>
  <c r="D366" i="6"/>
  <c r="D103" i="6"/>
  <c r="D98" i="6"/>
  <c r="D198" i="6"/>
  <c r="D128" i="6"/>
  <c r="D78" i="6"/>
  <c r="D93" i="6"/>
  <c r="D144" i="6"/>
  <c r="D252" i="6"/>
  <c r="D25" i="6"/>
  <c r="D209" i="6"/>
  <c r="D334" i="6"/>
  <c r="D300" i="6"/>
  <c r="D328" i="6"/>
  <c r="D317" i="6"/>
  <c r="D327" i="6"/>
  <c r="D96" i="6"/>
  <c r="D233" i="6"/>
  <c r="L133" i="6"/>
  <c r="L114" i="6"/>
  <c r="L198" i="6"/>
  <c r="L27" i="6"/>
  <c r="L177" i="6"/>
  <c r="L302" i="6"/>
  <c r="L99" i="6"/>
  <c r="L85" i="6"/>
  <c r="L72" i="6"/>
  <c r="L57" i="6"/>
  <c r="L77" i="6"/>
  <c r="L171" i="6"/>
  <c r="L335" i="6"/>
  <c r="L61" i="6"/>
  <c r="L231" i="6"/>
  <c r="D380" i="6"/>
  <c r="D3" i="6"/>
  <c r="D59" i="6"/>
  <c r="D335" i="6"/>
  <c r="D216" i="6"/>
  <c r="D61" i="6"/>
  <c r="D33" i="6"/>
  <c r="D238" i="6"/>
  <c r="D370" i="6"/>
  <c r="D137" i="6"/>
  <c r="D318" i="6"/>
  <c r="D206" i="6"/>
  <c r="D203" i="6"/>
  <c r="D241" i="6"/>
  <c r="D226" i="6"/>
  <c r="D175" i="6"/>
  <c r="D36" i="6"/>
  <c r="D131" i="6"/>
  <c r="D104" i="6"/>
  <c r="D346" i="6"/>
  <c r="D311" i="6"/>
  <c r="D201" i="6"/>
  <c r="D30" i="6"/>
  <c r="D143" i="6"/>
  <c r="D322" i="6"/>
  <c r="D251" i="6"/>
  <c r="D316" i="6"/>
  <c r="D225" i="6"/>
  <c r="D190" i="6"/>
  <c r="D39" i="6"/>
  <c r="D89" i="6"/>
  <c r="D118" i="6"/>
  <c r="D296" i="6"/>
  <c r="D81" i="6"/>
  <c r="D10" i="6"/>
  <c r="D306" i="6"/>
  <c r="D358" i="6"/>
  <c r="D95" i="6"/>
  <c r="D371" i="6"/>
  <c r="D26" i="6"/>
  <c r="D336" i="6"/>
  <c r="D205" i="6"/>
  <c r="D347" i="6"/>
  <c r="D259" i="6"/>
  <c r="D91" i="6"/>
  <c r="D88" i="6"/>
  <c r="D338" i="6"/>
  <c r="D237" i="6"/>
  <c r="D239" i="6"/>
  <c r="D307" i="6"/>
  <c r="D291" i="6"/>
  <c r="D105" i="6"/>
  <c r="L15" i="6"/>
  <c r="L310" i="6"/>
  <c r="L139" i="6"/>
  <c r="L48" i="6"/>
  <c r="L51" i="6"/>
  <c r="L279" i="6"/>
  <c r="L241" i="6"/>
  <c r="L13" i="6"/>
  <c r="L119" i="6"/>
  <c r="L333" i="6"/>
  <c r="L326" i="6"/>
  <c r="L58" i="6"/>
  <c r="L332" i="6"/>
  <c r="L104" i="6"/>
  <c r="L230" i="6"/>
  <c r="L369" i="6"/>
  <c r="L313" i="6"/>
  <c r="L134" i="6"/>
  <c r="L285" i="6"/>
  <c r="L89" i="6"/>
  <c r="L242" i="6"/>
  <c r="L213" i="6"/>
  <c r="L102" i="6"/>
  <c r="L268" i="6"/>
  <c r="L108" i="6"/>
  <c r="L207" i="6"/>
  <c r="L338" i="6"/>
  <c r="L96" i="6"/>
  <c r="C41" i="4"/>
  <c r="D47" i="4" s="1"/>
  <c r="L170" i="6"/>
  <c r="L11" i="6"/>
  <c r="L174" i="6"/>
  <c r="L243" i="6"/>
  <c r="L356" i="6"/>
  <c r="L340" i="6"/>
  <c r="L22" i="6"/>
  <c r="L210" i="6"/>
  <c r="L148" i="6"/>
  <c r="L12" i="6"/>
  <c r="L244" i="6"/>
  <c r="L278" i="6"/>
  <c r="L10" i="6"/>
  <c r="L163" i="6"/>
  <c r="L128" i="6"/>
  <c r="L113" i="6"/>
  <c r="L238" i="6"/>
  <c r="L175" i="6"/>
  <c r="L144" i="6"/>
  <c r="L140" i="6"/>
  <c r="L211" i="6"/>
  <c r="L31" i="6"/>
  <c r="L209" i="6"/>
  <c r="L264" i="6"/>
  <c r="L281" i="6"/>
  <c r="L43" i="6"/>
  <c r="L377" i="6"/>
  <c r="L295" i="6"/>
  <c r="L172" i="6"/>
  <c r="L311" i="6"/>
  <c r="L137" i="6"/>
  <c r="L44" i="6"/>
  <c r="L298" i="6"/>
  <c r="L62" i="6"/>
  <c r="L249" i="6"/>
  <c r="L111" i="6"/>
  <c r="L124" i="6"/>
  <c r="L379" i="6"/>
  <c r="L184" i="6"/>
  <c r="L225" i="6"/>
  <c r="L153" i="6"/>
  <c r="L156" i="6"/>
  <c r="L59" i="6"/>
  <c r="L324" i="6"/>
  <c r="L93" i="6"/>
  <c r="L47" i="6"/>
  <c r="L95" i="6"/>
  <c r="L180" i="6"/>
  <c r="L164" i="6"/>
  <c r="L375" i="6"/>
  <c r="L28" i="6"/>
  <c r="L37" i="6"/>
  <c r="L296" i="6"/>
  <c r="L372" i="6"/>
  <c r="L63" i="6"/>
  <c r="L351" i="6"/>
  <c r="L378" i="6"/>
  <c r="L176" i="6"/>
  <c r="L20" i="6"/>
  <c r="L256" i="6"/>
  <c r="L60" i="6"/>
  <c r="L135" i="6"/>
  <c r="L350" i="6"/>
  <c r="L289" i="6"/>
  <c r="L159" i="6"/>
  <c r="L265" i="6"/>
  <c r="L254" i="6"/>
  <c r="L178" i="6"/>
  <c r="L74" i="6"/>
  <c r="L347" i="6"/>
  <c r="L121" i="6"/>
  <c r="L83" i="6"/>
  <c r="L277" i="6"/>
  <c r="L251" i="6"/>
  <c r="L266" i="6"/>
  <c r="L252" i="6"/>
  <c r="L54" i="6"/>
  <c r="L19" i="6"/>
  <c r="L29" i="6"/>
  <c r="L275" i="6"/>
  <c r="L215" i="6"/>
  <c r="L203" i="6"/>
  <c r="L233" i="6"/>
  <c r="L253" i="6"/>
  <c r="L55" i="6"/>
  <c r="L370" i="6"/>
  <c r="L132" i="6"/>
  <c r="L30" i="6"/>
  <c r="L318" i="6"/>
  <c r="L303" i="6"/>
  <c r="L329" i="6"/>
  <c r="L103" i="6"/>
  <c r="L196" i="6"/>
  <c r="L192" i="6"/>
  <c r="L155" i="6"/>
  <c r="L126" i="6"/>
  <c r="L345" i="6"/>
  <c r="L197" i="6"/>
  <c r="L52" i="6"/>
  <c r="L117" i="6"/>
  <c r="L368" i="6"/>
  <c r="L131" i="6"/>
  <c r="L359" i="6"/>
  <c r="L300" i="6"/>
  <c r="L320" i="6"/>
  <c r="L161" i="6"/>
  <c r="L115" i="6"/>
  <c r="L339" i="6"/>
  <c r="L248" i="6"/>
  <c r="L116" i="6"/>
  <c r="L284" i="6"/>
  <c r="L169" i="6"/>
  <c r="L183" i="6"/>
  <c r="L346" i="6"/>
  <c r="L360" i="6"/>
  <c r="L101" i="6"/>
  <c r="L334" i="6"/>
  <c r="L269" i="6"/>
  <c r="L349" i="6"/>
  <c r="L65" i="6"/>
  <c r="L274" i="6"/>
  <c r="L199" i="6"/>
  <c r="L247" i="6"/>
  <c r="L323" i="6"/>
  <c r="L304" i="6"/>
  <c r="L261" i="6"/>
  <c r="L321" i="6"/>
  <c r="L270" i="6"/>
  <c r="L218" i="6"/>
  <c r="L188" i="6"/>
  <c r="L283" i="6"/>
  <c r="L212" i="6"/>
  <c r="L366" i="6"/>
  <c r="L246" i="6"/>
  <c r="L299" i="6"/>
  <c r="L8" i="6"/>
  <c r="L16" i="6"/>
  <c r="L160" i="6"/>
  <c r="L39" i="6"/>
  <c r="L69" i="6"/>
  <c r="L293" i="6"/>
  <c r="L129" i="6"/>
  <c r="L343" i="6"/>
  <c r="L236" i="6"/>
  <c r="L288" i="6"/>
  <c r="L381" i="6"/>
  <c r="L373" i="6"/>
  <c r="L272" i="6"/>
  <c r="L185" i="6"/>
  <c r="L186" i="6"/>
  <c r="L342" i="6"/>
  <c r="L94" i="6"/>
  <c r="L315" i="6"/>
  <c r="L234" i="6"/>
  <c r="L204" i="6"/>
  <c r="L224" i="6"/>
  <c r="L358" i="6"/>
  <c r="L181" i="6"/>
  <c r="L314" i="6"/>
  <c r="L325" i="6"/>
  <c r="L291" i="6"/>
  <c r="L337" i="6"/>
  <c r="L35" i="6"/>
  <c r="L75" i="6"/>
  <c r="L282" i="6"/>
  <c r="L319" i="6"/>
  <c r="L146" i="6"/>
  <c r="L32" i="6"/>
  <c r="L328" i="6"/>
  <c r="L193" i="6"/>
  <c r="L271" i="6"/>
  <c r="L36" i="6"/>
  <c r="L149" i="6"/>
  <c r="L182" i="6"/>
  <c r="L262" i="6"/>
  <c r="L92" i="6"/>
  <c r="L330" i="6"/>
  <c r="L122" i="6"/>
  <c r="L105" i="6"/>
  <c r="L228" i="6"/>
  <c r="L23" i="6"/>
  <c r="L363" i="6"/>
  <c r="L165" i="6"/>
  <c r="L168" i="6"/>
  <c r="L364" i="6"/>
  <c r="L312" i="6"/>
  <c r="L2" i="6"/>
  <c r="L200" i="6"/>
  <c r="L49" i="6"/>
  <c r="L301" i="6"/>
  <c r="L130" i="6"/>
  <c r="L245" i="6"/>
  <c r="L46" i="6"/>
  <c r="L205" i="6"/>
  <c r="L167" i="6"/>
  <c r="L308" i="6"/>
  <c r="L173" i="6"/>
  <c r="L195" i="6"/>
  <c r="L53" i="6"/>
  <c r="L297" i="6"/>
  <c r="L202" i="6"/>
  <c r="L305" i="6"/>
  <c r="L86" i="6"/>
  <c r="L316" i="6"/>
  <c r="L50" i="6"/>
  <c r="L40" i="6"/>
  <c r="L187" i="6"/>
  <c r="L81" i="6"/>
  <c r="L341" i="6"/>
  <c r="L9" i="6"/>
  <c r="L235" i="6"/>
  <c r="L88" i="6"/>
  <c r="L276" i="6"/>
  <c r="L67" i="6"/>
  <c r="L6" i="6"/>
  <c r="L232" i="6"/>
  <c r="L179" i="6"/>
  <c r="L109" i="6"/>
  <c r="L223" i="6"/>
  <c r="L142" i="6"/>
  <c r="L143" i="6"/>
  <c r="L136" i="6"/>
  <c r="L380" i="6"/>
  <c r="L78" i="6"/>
  <c r="L162" i="6"/>
  <c r="L64" i="6"/>
  <c r="L98" i="6"/>
  <c r="L70" i="6"/>
  <c r="L259" i="6"/>
  <c r="L151" i="6"/>
  <c r="L41" i="6"/>
  <c r="L110" i="6"/>
  <c r="L26" i="6"/>
  <c r="L191" i="6"/>
  <c r="L355" i="6"/>
  <c r="L217" i="6"/>
  <c r="L33" i="6"/>
  <c r="L258" i="6"/>
  <c r="L56" i="6"/>
  <c r="L352" i="6"/>
  <c r="L3" i="6"/>
  <c r="L189" i="6"/>
  <c r="L25" i="6"/>
  <c r="L201" i="6"/>
  <c r="L84" i="6"/>
  <c r="L306" i="6"/>
  <c r="L68" i="6"/>
  <c r="L317" i="6"/>
  <c r="L106" i="6"/>
  <c r="L24" i="6"/>
  <c r="L237" i="6"/>
  <c r="L220" i="6"/>
  <c r="L125" i="6"/>
  <c r="L287" i="6"/>
  <c r="L97" i="6"/>
  <c r="L229" i="6"/>
  <c r="L80" i="6"/>
  <c r="L376" i="6"/>
  <c r="L344" i="6"/>
  <c r="L309" i="6"/>
  <c r="L290" i="6"/>
  <c r="L267" i="6"/>
  <c r="L331" i="6"/>
  <c r="L348" i="6"/>
  <c r="L73" i="6"/>
  <c r="L123" i="6"/>
  <c r="L118" i="6"/>
  <c r="L5" i="6"/>
  <c r="L257" i="6"/>
  <c r="L166" i="6"/>
  <c r="L21" i="6"/>
  <c r="L17" i="6"/>
  <c r="L214" i="6"/>
  <c r="L138" i="6"/>
  <c r="L194" i="6"/>
  <c r="L222" i="6"/>
  <c r="L239" i="6"/>
  <c r="L14" i="6"/>
  <c r="L45" i="6"/>
  <c r="L79" i="6"/>
  <c r="L221" i="6"/>
  <c r="L365" i="6"/>
  <c r="L336" i="6"/>
  <c r="L66" i="6"/>
  <c r="L362" i="6"/>
  <c r="L361" i="6"/>
  <c r="L286" i="6"/>
  <c r="L145" i="6"/>
  <c r="L292" i="6"/>
  <c r="L7" i="6"/>
  <c r="L112" i="6"/>
  <c r="L90" i="6"/>
  <c r="L240" i="6"/>
  <c r="L154" i="6"/>
  <c r="L255" i="6"/>
  <c r="L147" i="6"/>
  <c r="L357" i="6"/>
  <c r="L18" i="6"/>
  <c r="L152" i="6"/>
  <c r="L227" i="6"/>
  <c r="L219" i="6"/>
  <c r="L216" i="6"/>
  <c r="L91" i="6"/>
  <c r="L157" i="6"/>
  <c r="L208" i="6"/>
  <c r="L260" i="6"/>
  <c r="L294" i="6"/>
  <c r="L158" i="6"/>
  <c r="L190" i="6"/>
  <c r="L76" i="6"/>
  <c r="L371" i="6"/>
  <c r="L374" i="6"/>
  <c r="L280" i="6"/>
  <c r="L322" i="6"/>
  <c r="L71" i="6"/>
  <c r="L87" i="6"/>
  <c r="L273" i="6"/>
  <c r="L354" i="6"/>
  <c r="L120" i="6"/>
  <c r="L107" i="6"/>
  <c r="L38" i="6"/>
  <c r="L34" i="6"/>
  <c r="L327" i="6"/>
  <c r="L100" i="6"/>
  <c r="L141" i="6"/>
  <c r="L4" i="6"/>
  <c r="L263" i="6"/>
  <c r="L250" i="6"/>
  <c r="L206" i="6"/>
  <c r="L82" i="6"/>
  <c r="L226" i="6"/>
  <c r="L150" i="6"/>
  <c r="L307" i="6"/>
  <c r="L367" i="6"/>
  <c r="C84" i="4"/>
  <c r="C96" i="4"/>
  <c r="C78" i="4"/>
  <c r="D78" i="4" s="1"/>
  <c r="C141" i="4"/>
  <c r="E274" i="6" s="1"/>
  <c r="E77" i="4"/>
  <c r="D92" i="1" s="1"/>
  <c r="C149" i="4"/>
  <c r="M80" i="6" s="1"/>
  <c r="C147" i="4"/>
  <c r="K243" i="6" s="1"/>
  <c r="C142" i="4"/>
  <c r="C14" i="6" s="1"/>
  <c r="E45" i="4"/>
  <c r="D69" i="1" s="1"/>
  <c r="C52" i="4" l="1"/>
  <c r="E47" i="4"/>
  <c r="D77" i="1" s="1"/>
  <c r="C43" i="4"/>
  <c r="D48" i="4" s="1"/>
  <c r="F47" i="4"/>
  <c r="E77" i="1" s="1"/>
  <c r="C85" i="4"/>
  <c r="C94" i="4" s="1"/>
  <c r="E174" i="6"/>
  <c r="E201" i="6"/>
  <c r="E63" i="6"/>
  <c r="E84" i="6"/>
  <c r="E333" i="6"/>
  <c r="E365" i="6"/>
  <c r="E200" i="6"/>
  <c r="M25" i="6"/>
  <c r="M296" i="6"/>
  <c r="M367" i="6"/>
  <c r="M198" i="6"/>
  <c r="M282" i="6"/>
  <c r="M2" i="6"/>
  <c r="M272" i="6"/>
  <c r="M312" i="6"/>
  <c r="M95" i="6"/>
  <c r="M273" i="6"/>
  <c r="M17" i="6"/>
  <c r="M185" i="6"/>
  <c r="M269" i="6"/>
  <c r="M372" i="6"/>
  <c r="M152" i="6"/>
  <c r="E327" i="6"/>
  <c r="E308" i="6"/>
  <c r="E234" i="6"/>
  <c r="E5" i="6"/>
  <c r="E13" i="6"/>
  <c r="E313" i="6"/>
  <c r="E205" i="6"/>
  <c r="E287" i="6"/>
  <c r="E123" i="6"/>
  <c r="E106" i="6"/>
  <c r="E9" i="6"/>
  <c r="E168" i="6"/>
  <c r="E298" i="6"/>
  <c r="E125" i="6"/>
  <c r="E199" i="6"/>
  <c r="E240" i="6"/>
  <c r="E368" i="6"/>
  <c r="E358" i="6"/>
  <c r="E364" i="6"/>
  <c r="E216" i="6"/>
  <c r="E263" i="6"/>
  <c r="E112" i="6"/>
  <c r="E281" i="6"/>
  <c r="E109" i="6"/>
  <c r="E142" i="6"/>
  <c r="M147" i="6"/>
  <c r="M234" i="6"/>
  <c r="M133" i="6"/>
  <c r="M140" i="6"/>
  <c r="M308" i="6"/>
  <c r="E289" i="6"/>
  <c r="E33" i="6"/>
  <c r="E132" i="6"/>
  <c r="E40" i="6"/>
  <c r="M184" i="6"/>
  <c r="M166" i="6"/>
  <c r="M207" i="6"/>
  <c r="M77" i="6"/>
  <c r="M51" i="6"/>
  <c r="E114" i="6"/>
  <c r="E269" i="6"/>
  <c r="E321" i="6"/>
  <c r="E66" i="6"/>
  <c r="E303" i="6"/>
  <c r="E178" i="6"/>
  <c r="E238" i="6"/>
  <c r="E302" i="6"/>
  <c r="E284" i="6"/>
  <c r="E224" i="6"/>
  <c r="E272" i="6"/>
  <c r="E24" i="6"/>
  <c r="M316" i="6"/>
  <c r="M44" i="6"/>
  <c r="M344" i="6"/>
  <c r="M251" i="6"/>
  <c r="M340" i="6"/>
  <c r="E283" i="6"/>
  <c r="E348" i="6"/>
  <c r="E361" i="6"/>
  <c r="E347" i="6"/>
  <c r="E169" i="6"/>
  <c r="E147" i="6"/>
  <c r="E223" i="6"/>
  <c r="E326" i="6"/>
  <c r="E68" i="6"/>
  <c r="M205" i="6"/>
  <c r="M214" i="6"/>
  <c r="M30" i="6"/>
  <c r="M174" i="6"/>
  <c r="M22" i="6"/>
  <c r="E103" i="6"/>
  <c r="E245" i="6"/>
  <c r="E378" i="6"/>
  <c r="E316" i="6"/>
  <c r="E322" i="6"/>
  <c r="E257" i="6"/>
  <c r="E250" i="6"/>
  <c r="E377" i="6"/>
  <c r="M170" i="6"/>
  <c r="M241" i="6"/>
  <c r="M114" i="6"/>
  <c r="M224" i="6"/>
  <c r="M120" i="6"/>
  <c r="M371" i="6"/>
  <c r="E183" i="6"/>
  <c r="E59" i="6"/>
  <c r="E95" i="6"/>
  <c r="E116" i="6"/>
  <c r="E46" i="6"/>
  <c r="E279" i="6"/>
  <c r="E80" i="6"/>
  <c r="E324" i="6"/>
  <c r="E273" i="6"/>
  <c r="E237" i="6"/>
  <c r="E100" i="6"/>
  <c r="E312" i="6"/>
  <c r="E266" i="6"/>
  <c r="E265" i="6"/>
  <c r="E10" i="6"/>
  <c r="E99" i="6"/>
  <c r="E293" i="6"/>
  <c r="E101" i="6"/>
  <c r="E128" i="6"/>
  <c r="E150" i="6"/>
  <c r="E227" i="6"/>
  <c r="E370" i="6"/>
  <c r="E233" i="6"/>
  <c r="E4" i="6"/>
  <c r="E173" i="6"/>
  <c r="E251" i="6"/>
  <c r="E83" i="6"/>
  <c r="E65" i="6"/>
  <c r="E184" i="6"/>
  <c r="E337" i="6"/>
  <c r="E190" i="6"/>
  <c r="E131" i="6"/>
  <c r="E235" i="6"/>
  <c r="E140" i="6"/>
  <c r="E93" i="6"/>
  <c r="E295" i="6"/>
  <c r="E126" i="6"/>
  <c r="E344" i="6"/>
  <c r="E185" i="6"/>
  <c r="E133" i="6"/>
  <c r="E74" i="6"/>
  <c r="E301" i="6"/>
  <c r="E290" i="6"/>
  <c r="E170" i="6"/>
  <c r="E15" i="6"/>
  <c r="E355" i="6"/>
  <c r="E359" i="6"/>
  <c r="E339" i="6"/>
  <c r="E136" i="6"/>
  <c r="E105" i="6"/>
  <c r="E231" i="6"/>
  <c r="E282" i="6"/>
  <c r="E31" i="6"/>
  <c r="E328" i="6"/>
  <c r="E29" i="6"/>
  <c r="E215" i="6"/>
  <c r="E191" i="6"/>
  <c r="E143" i="6"/>
  <c r="E236" i="6"/>
  <c r="E151" i="6"/>
  <c r="E120" i="6"/>
  <c r="E155" i="6"/>
  <c r="E135" i="6"/>
  <c r="E47" i="6"/>
  <c r="E16" i="6"/>
  <c r="E144" i="6"/>
  <c r="E97" i="6"/>
  <c r="E38" i="6"/>
  <c r="E214" i="6"/>
  <c r="E334" i="6"/>
  <c r="E192" i="6"/>
  <c r="E249" i="6"/>
  <c r="E89" i="6"/>
  <c r="E320" i="6"/>
  <c r="E2" i="6"/>
  <c r="E363" i="6"/>
  <c r="E145" i="6"/>
  <c r="E188" i="6"/>
  <c r="E331" i="6"/>
  <c r="E73" i="6"/>
  <c r="E7" i="6"/>
  <c r="E244" i="6"/>
  <c r="E286" i="6"/>
  <c r="E87" i="6"/>
  <c r="E219" i="6"/>
  <c r="E104" i="6"/>
  <c r="E177" i="6"/>
  <c r="E264" i="6"/>
  <c r="E11" i="6"/>
  <c r="E3" i="6"/>
  <c r="E276" i="6"/>
  <c r="E32" i="6"/>
  <c r="E60" i="6"/>
  <c r="E69" i="6"/>
  <c r="E374" i="6"/>
  <c r="E246" i="6"/>
  <c r="E209" i="6"/>
  <c r="E366" i="6"/>
  <c r="E204" i="6"/>
  <c r="E362" i="6"/>
  <c r="E163" i="6"/>
  <c r="E352" i="6"/>
  <c r="E211" i="6"/>
  <c r="E12" i="6"/>
  <c r="E138" i="6"/>
  <c r="E156" i="6"/>
  <c r="E253" i="6"/>
  <c r="E20" i="6"/>
  <c r="E34" i="6"/>
  <c r="E335" i="6"/>
  <c r="E213" i="6"/>
  <c r="E255" i="6"/>
  <c r="E35" i="6"/>
  <c r="E343" i="6"/>
  <c r="E319" i="6"/>
  <c r="E381" i="6"/>
  <c r="E134" i="6"/>
  <c r="E88" i="6"/>
  <c r="E42" i="6"/>
  <c r="E75" i="6"/>
  <c r="E221" i="6"/>
  <c r="E342" i="6"/>
  <c r="E259" i="6"/>
  <c r="E261" i="6"/>
  <c r="E50" i="6"/>
  <c r="E180" i="6"/>
  <c r="E30" i="6"/>
  <c r="E154" i="6"/>
  <c r="E129" i="6"/>
  <c r="E21" i="6"/>
  <c r="E228" i="6"/>
  <c r="E380" i="6"/>
  <c r="E26" i="6"/>
  <c r="E25" i="6"/>
  <c r="E336" i="6"/>
  <c r="E81" i="6"/>
  <c r="E294" i="6"/>
  <c r="E299" i="6"/>
  <c r="E350" i="6"/>
  <c r="E239" i="6"/>
  <c r="E243" i="6"/>
  <c r="E318" i="6"/>
  <c r="E161" i="6"/>
  <c r="E225" i="6"/>
  <c r="E367" i="6"/>
  <c r="E379" i="6"/>
  <c r="E56" i="6"/>
  <c r="E340" i="6"/>
  <c r="E61" i="6"/>
  <c r="E193" i="6"/>
  <c r="E222" i="6"/>
  <c r="E325" i="6"/>
  <c r="E149" i="6"/>
  <c r="E341" i="6"/>
  <c r="E86" i="6"/>
  <c r="E117" i="6"/>
  <c r="E254" i="6"/>
  <c r="E127" i="6"/>
  <c r="E280" i="6"/>
  <c r="E346" i="6"/>
  <c r="E137" i="6"/>
  <c r="E230" i="6"/>
  <c r="E175" i="6"/>
  <c r="E77" i="6"/>
  <c r="E130" i="6"/>
  <c r="E54" i="6"/>
  <c r="E107" i="6"/>
  <c r="E181" i="6"/>
  <c r="E98" i="6"/>
  <c r="E212" i="6"/>
  <c r="E360" i="6"/>
  <c r="E285" i="6"/>
  <c r="E165" i="6"/>
  <c r="E297" i="6"/>
  <c r="E330" i="6"/>
  <c r="E189" i="6"/>
  <c r="E252" i="6"/>
  <c r="E371" i="6"/>
  <c r="E51" i="6"/>
  <c r="E270" i="6"/>
  <c r="E271" i="6"/>
  <c r="E164" i="6"/>
  <c r="E207" i="6"/>
  <c r="E296" i="6"/>
  <c r="E48" i="6"/>
  <c r="E139" i="6"/>
  <c r="E41" i="6"/>
  <c r="E94" i="6"/>
  <c r="E159" i="6"/>
  <c r="E85" i="6"/>
  <c r="E206" i="6"/>
  <c r="E208" i="6"/>
  <c r="E158" i="6"/>
  <c r="E351" i="6"/>
  <c r="E64" i="6"/>
  <c r="E17" i="6"/>
  <c r="E306" i="6"/>
  <c r="E146" i="6"/>
  <c r="E115" i="6"/>
  <c r="E152" i="6"/>
  <c r="E121" i="6"/>
  <c r="E92" i="6"/>
  <c r="E111" i="6"/>
  <c r="E23" i="6"/>
  <c r="E291" i="6"/>
  <c r="E96" i="6"/>
  <c r="E6" i="6"/>
  <c r="E267" i="6"/>
  <c r="E78" i="6"/>
  <c r="E67" i="6"/>
  <c r="E72" i="6"/>
  <c r="E197" i="6"/>
  <c r="E58" i="6"/>
  <c r="E198" i="6"/>
  <c r="E90" i="6"/>
  <c r="E305" i="6"/>
  <c r="E310" i="6"/>
  <c r="E53" i="6"/>
  <c r="E317" i="6"/>
  <c r="E241" i="6"/>
  <c r="E108" i="6"/>
  <c r="E62" i="6"/>
  <c r="E353" i="6"/>
  <c r="E314" i="6"/>
  <c r="E57" i="6"/>
  <c r="E268" i="6"/>
  <c r="E52" i="6"/>
  <c r="E369" i="6"/>
  <c r="E124" i="6"/>
  <c r="E376" i="6"/>
  <c r="E217" i="6"/>
  <c r="E277" i="6"/>
  <c r="E19" i="6"/>
  <c r="E186" i="6"/>
  <c r="E275" i="6"/>
  <c r="E196" i="6"/>
  <c r="E113" i="6"/>
  <c r="E220" i="6"/>
  <c r="E232" i="6"/>
  <c r="E307" i="6"/>
  <c r="E256" i="6"/>
  <c r="E36" i="6"/>
  <c r="E309" i="6"/>
  <c r="E76" i="6"/>
  <c r="E311" i="6"/>
  <c r="E49" i="6"/>
  <c r="E278" i="6"/>
  <c r="E357" i="6"/>
  <c r="E172" i="6"/>
  <c r="E248" i="6"/>
  <c r="E345" i="6"/>
  <c r="E43" i="6"/>
  <c r="E171" i="6"/>
  <c r="E91" i="6"/>
  <c r="E375" i="6"/>
  <c r="E70" i="6"/>
  <c r="E260" i="6"/>
  <c r="E329" i="6"/>
  <c r="E372" i="6"/>
  <c r="E71" i="6"/>
  <c r="E187" i="6"/>
  <c r="E160" i="6"/>
  <c r="E229" i="6"/>
  <c r="E226" i="6"/>
  <c r="E288" i="6"/>
  <c r="E202" i="6"/>
  <c r="E79" i="6"/>
  <c r="E195" i="6"/>
  <c r="E354" i="6"/>
  <c r="E247" i="6"/>
  <c r="E148" i="6"/>
  <c r="E242" i="6"/>
  <c r="E39" i="6"/>
  <c r="E300" i="6"/>
  <c r="E323" i="6"/>
  <c r="E44" i="6"/>
  <c r="E332" i="6"/>
  <c r="E262" i="6"/>
  <c r="E194" i="6"/>
  <c r="E349" i="6"/>
  <c r="E14" i="6"/>
  <c r="E167" i="6"/>
  <c r="E119" i="6"/>
  <c r="E55" i="6"/>
  <c r="E258" i="6"/>
  <c r="E315" i="6"/>
  <c r="E153" i="6"/>
  <c r="E110" i="6"/>
  <c r="M209" i="6"/>
  <c r="M173" i="6"/>
  <c r="M286" i="6"/>
  <c r="M154" i="6"/>
  <c r="M188" i="6"/>
  <c r="M64" i="6"/>
  <c r="M183" i="6"/>
  <c r="M355" i="6"/>
  <c r="E373" i="6"/>
  <c r="E176" i="6"/>
  <c r="E82" i="6"/>
  <c r="E37" i="6"/>
  <c r="E304" i="6"/>
  <c r="E28" i="6"/>
  <c r="M149" i="6"/>
  <c r="M178" i="6"/>
  <c r="M40" i="6"/>
  <c r="M160" i="6"/>
  <c r="M330" i="6"/>
  <c r="M82" i="6"/>
  <c r="M356" i="6"/>
  <c r="M306" i="6"/>
  <c r="M181" i="6"/>
  <c r="M238" i="6"/>
  <c r="M245" i="6"/>
  <c r="M100" i="6"/>
  <c r="E8" i="6"/>
  <c r="E210" i="6"/>
  <c r="E122" i="6"/>
  <c r="E27" i="6"/>
  <c r="E356" i="6"/>
  <c r="E292" i="6"/>
  <c r="E162" i="6"/>
  <c r="E182" i="6"/>
  <c r="M7" i="6"/>
  <c r="M321" i="6"/>
  <c r="M47" i="6"/>
  <c r="M161" i="6"/>
  <c r="M168" i="6"/>
  <c r="M138" i="6"/>
  <c r="M309" i="6"/>
  <c r="M215" i="6"/>
  <c r="M84" i="6"/>
  <c r="M105" i="6"/>
  <c r="M380" i="6"/>
  <c r="M247" i="6"/>
  <c r="E118" i="6"/>
  <c r="E203" i="6"/>
  <c r="E22" i="6"/>
  <c r="E179" i="6"/>
  <c r="E141" i="6"/>
  <c r="E102" i="6"/>
  <c r="M71" i="6"/>
  <c r="M200" i="6"/>
  <c r="M331" i="6"/>
  <c r="M302" i="6"/>
  <c r="M90" i="6"/>
  <c r="M115" i="6"/>
  <c r="M189" i="6"/>
  <c r="M10" i="6"/>
  <c r="M304" i="6"/>
  <c r="M194" i="6"/>
  <c r="M342" i="6"/>
  <c r="M230" i="6"/>
  <c r="M159" i="6"/>
  <c r="E18" i="6"/>
  <c r="E157" i="6"/>
  <c r="E218" i="6"/>
  <c r="E166" i="6"/>
  <c r="E45" i="6"/>
  <c r="E338" i="6"/>
  <c r="M197" i="6"/>
  <c r="M366" i="6"/>
  <c r="M271" i="6"/>
  <c r="M357" i="6"/>
  <c r="M339" i="6"/>
  <c r="M204" i="6"/>
  <c r="M235" i="6"/>
  <c r="M50" i="6"/>
  <c r="M131" i="6"/>
  <c r="M212" i="6"/>
  <c r="M349" i="6"/>
  <c r="M151" i="6"/>
  <c r="M48" i="6"/>
  <c r="M12" i="6"/>
  <c r="K316" i="6"/>
  <c r="M336" i="6"/>
  <c r="M220" i="6"/>
  <c r="M246" i="6"/>
  <c r="M217" i="6"/>
  <c r="M191" i="6"/>
  <c r="M135" i="6"/>
  <c r="M320" i="6"/>
  <c r="M126" i="6"/>
  <c r="M14" i="6"/>
  <c r="M203" i="6"/>
  <c r="M108" i="6"/>
  <c r="M264" i="6"/>
  <c r="M248" i="6"/>
  <c r="M39" i="6"/>
  <c r="M143" i="6"/>
  <c r="M98" i="6"/>
  <c r="M268" i="6"/>
  <c r="M52" i="6"/>
  <c r="M274" i="6"/>
  <c r="M119" i="6"/>
  <c r="M193" i="6"/>
  <c r="M35" i="6"/>
  <c r="M263" i="6"/>
  <c r="M279" i="6"/>
  <c r="M139" i="6"/>
  <c r="M192" i="6"/>
  <c r="M293" i="6"/>
  <c r="M341" i="6"/>
  <c r="M6" i="6"/>
  <c r="M334" i="6"/>
  <c r="M236" i="6"/>
  <c r="M165" i="6"/>
  <c r="M62" i="6"/>
  <c r="M292" i="6"/>
  <c r="M262" i="6"/>
  <c r="M74" i="6"/>
  <c r="M128" i="6"/>
  <c r="M132" i="6"/>
  <c r="M163" i="6"/>
  <c r="M211" i="6"/>
  <c r="M75" i="6"/>
  <c r="M81" i="6"/>
  <c r="M231" i="6"/>
  <c r="M376" i="6"/>
  <c r="M38" i="6"/>
  <c r="M347" i="6"/>
  <c r="M223" i="6"/>
  <c r="M36" i="6"/>
  <c r="M66" i="6"/>
  <c r="M196" i="6"/>
  <c r="M363" i="6"/>
  <c r="M338" i="6"/>
  <c r="M305" i="6"/>
  <c r="M267" i="6"/>
  <c r="M354" i="6"/>
  <c r="M258" i="6"/>
  <c r="M116" i="6"/>
  <c r="M326" i="6"/>
  <c r="M318" i="6"/>
  <c r="M177" i="6"/>
  <c r="M374" i="6"/>
  <c r="M311" i="6"/>
  <c r="M199" i="6"/>
  <c r="M301" i="6"/>
  <c r="M343" i="6"/>
  <c r="M69" i="6"/>
  <c r="M145" i="6"/>
  <c r="M283" i="6"/>
  <c r="M348" i="6"/>
  <c r="M89" i="6"/>
  <c r="M255" i="6"/>
  <c r="M208" i="6"/>
  <c r="M287" i="6"/>
  <c r="M28" i="6"/>
  <c r="M270" i="6"/>
  <c r="M237" i="6"/>
  <c r="M29" i="6"/>
  <c r="M106" i="6"/>
  <c r="M284" i="6"/>
  <c r="M67" i="6"/>
  <c r="M157" i="6"/>
  <c r="M167" i="6"/>
  <c r="M158" i="6"/>
  <c r="M370" i="6"/>
  <c r="M360" i="6"/>
  <c r="M109" i="6"/>
  <c r="M280" i="6"/>
  <c r="M359" i="6"/>
  <c r="M266" i="6"/>
  <c r="M72" i="6"/>
  <c r="M113" i="6"/>
  <c r="M332" i="6"/>
  <c r="M345" i="6"/>
  <c r="M99" i="6"/>
  <c r="M300" i="6"/>
  <c r="M102" i="6"/>
  <c r="M68" i="6"/>
  <c r="M86" i="6"/>
  <c r="M144" i="6"/>
  <c r="M43" i="6"/>
  <c r="M278" i="6"/>
  <c r="M276" i="6"/>
  <c r="M232" i="6"/>
  <c r="M249" i="6"/>
  <c r="M8" i="6"/>
  <c r="M303" i="6"/>
  <c r="M21" i="6"/>
  <c r="M210" i="6"/>
  <c r="M78" i="6"/>
  <c r="M20" i="6"/>
  <c r="M24" i="6"/>
  <c r="M85" i="6"/>
  <c r="M79" i="6"/>
  <c r="M290" i="6"/>
  <c r="M31" i="6"/>
  <c r="M104" i="6"/>
  <c r="M53" i="6"/>
  <c r="M15" i="6"/>
  <c r="M328" i="6"/>
  <c r="M19" i="6"/>
  <c r="M307" i="6"/>
  <c r="M45" i="6"/>
  <c r="M350" i="6"/>
  <c r="M337" i="6"/>
  <c r="M299" i="6"/>
  <c r="M375" i="6"/>
  <c r="M361" i="6"/>
  <c r="M118" i="6"/>
  <c r="M294" i="6"/>
  <c r="M295" i="6"/>
  <c r="M46" i="6"/>
  <c r="M127" i="6"/>
  <c r="M243" i="6"/>
  <c r="P243" i="6" s="1"/>
  <c r="Q243" i="6" s="1"/>
  <c r="M297" i="6"/>
  <c r="M54" i="6"/>
  <c r="M182" i="6"/>
  <c r="M41" i="6"/>
  <c r="M11" i="6"/>
  <c r="M26" i="6"/>
  <c r="M277" i="6"/>
  <c r="M242" i="6"/>
  <c r="M289" i="6"/>
  <c r="M49" i="6"/>
  <c r="M125" i="6"/>
  <c r="M314" i="6"/>
  <c r="M4" i="6"/>
  <c r="M96" i="6"/>
  <c r="M122" i="6"/>
  <c r="M179" i="6"/>
  <c r="M221" i="6"/>
  <c r="M172" i="6"/>
  <c r="M261" i="6"/>
  <c r="M213" i="6"/>
  <c r="M107" i="6"/>
  <c r="M219" i="6"/>
  <c r="M369" i="6"/>
  <c r="M239" i="6"/>
  <c r="M16" i="6"/>
  <c r="M206" i="6"/>
  <c r="M180" i="6"/>
  <c r="M57" i="6"/>
  <c r="M265" i="6"/>
  <c r="M195" i="6"/>
  <c r="M73" i="6"/>
  <c r="M134" i="6"/>
  <c r="M60" i="6"/>
  <c r="M37" i="6"/>
  <c r="M351" i="6"/>
  <c r="M27" i="6"/>
  <c r="M335" i="6"/>
  <c r="M319" i="6"/>
  <c r="M186" i="6"/>
  <c r="M378" i="6"/>
  <c r="M142" i="6"/>
  <c r="M317" i="6"/>
  <c r="M33" i="6"/>
  <c r="M285" i="6"/>
  <c r="M103" i="6"/>
  <c r="M124" i="6"/>
  <c r="M155" i="6"/>
  <c r="M222" i="6"/>
  <c r="M92" i="6"/>
  <c r="M275" i="6"/>
  <c r="M175" i="6"/>
  <c r="M202" i="6"/>
  <c r="M381" i="6"/>
  <c r="M252" i="6"/>
  <c r="M358" i="6"/>
  <c r="M253" i="6"/>
  <c r="M362" i="6"/>
  <c r="M101" i="6"/>
  <c r="M83" i="6"/>
  <c r="M56" i="6"/>
  <c r="M87" i="6"/>
  <c r="M136" i="6"/>
  <c r="M34" i="6"/>
  <c r="M153" i="6"/>
  <c r="M121" i="6"/>
  <c r="M148" i="6"/>
  <c r="M323" i="6"/>
  <c r="M364" i="6"/>
  <c r="M379" i="6"/>
  <c r="M5" i="6"/>
  <c r="M325" i="6"/>
  <c r="M228" i="6"/>
  <c r="M169" i="6"/>
  <c r="M352" i="6"/>
  <c r="M260" i="6"/>
  <c r="M59" i="6"/>
  <c r="M111" i="6"/>
  <c r="M129" i="6"/>
  <c r="M13" i="6"/>
  <c r="M315" i="6"/>
  <c r="M281" i="6"/>
  <c r="M218" i="6"/>
  <c r="M257" i="6"/>
  <c r="M123" i="6"/>
  <c r="M254" i="6"/>
  <c r="M61" i="6"/>
  <c r="M201" i="6"/>
  <c r="M377" i="6"/>
  <c r="M97" i="6"/>
  <c r="M244" i="6"/>
  <c r="M88" i="6"/>
  <c r="M329" i="6"/>
  <c r="M333" i="6"/>
  <c r="M70" i="6"/>
  <c r="M229" i="6"/>
  <c r="M346" i="6"/>
  <c r="M216" i="6"/>
  <c r="M23" i="6"/>
  <c r="M9" i="6"/>
  <c r="M365" i="6"/>
  <c r="M373" i="6"/>
  <c r="M291" i="6"/>
  <c r="M322" i="6"/>
  <c r="M137" i="6"/>
  <c r="M156" i="6"/>
  <c r="M65" i="6"/>
  <c r="M3" i="6"/>
  <c r="M176" i="6"/>
  <c r="M298" i="6"/>
  <c r="M150" i="6"/>
  <c r="M91" i="6"/>
  <c r="M313" i="6"/>
  <c r="M310" i="6"/>
  <c r="M250" i="6"/>
  <c r="M130" i="6"/>
  <c r="M146" i="6"/>
  <c r="M171" i="6"/>
  <c r="M288" i="6"/>
  <c r="M190" i="6"/>
  <c r="M324" i="6"/>
  <c r="M18" i="6"/>
  <c r="M226" i="6"/>
  <c r="M256" i="6"/>
  <c r="M55" i="6"/>
  <c r="M353" i="6"/>
  <c r="M259" i="6"/>
  <c r="M42" i="6"/>
  <c r="M94" i="6"/>
  <c r="M141" i="6"/>
  <c r="M187" i="6"/>
  <c r="M240" i="6"/>
  <c r="M76" i="6"/>
  <c r="M32" i="6"/>
  <c r="M227" i="6"/>
  <c r="M58" i="6"/>
  <c r="M110" i="6"/>
  <c r="M117" i="6"/>
  <c r="M162" i="6"/>
  <c r="M164" i="6"/>
  <c r="M112" i="6"/>
  <c r="M63" i="6"/>
  <c r="M225" i="6"/>
  <c r="M233" i="6"/>
  <c r="M327" i="6"/>
  <c r="M93" i="6"/>
  <c r="M368" i="6"/>
  <c r="K190" i="6"/>
  <c r="K275" i="6"/>
  <c r="K250" i="6"/>
  <c r="K2" i="6"/>
  <c r="K121" i="6"/>
  <c r="K223" i="6"/>
  <c r="K25" i="6"/>
  <c r="K216" i="6"/>
  <c r="K11" i="6"/>
  <c r="K69" i="6"/>
  <c r="K7" i="6"/>
  <c r="K369" i="6"/>
  <c r="K285" i="6"/>
  <c r="K52" i="6"/>
  <c r="K193" i="6"/>
  <c r="K279" i="6"/>
  <c r="K32" i="6"/>
  <c r="K335" i="6"/>
  <c r="K136" i="6"/>
  <c r="K27" i="6"/>
  <c r="K153" i="6"/>
  <c r="K219" i="6"/>
  <c r="K145" i="6"/>
  <c r="K187" i="6"/>
  <c r="P187" i="6" s="1"/>
  <c r="Q187" i="6" s="1"/>
  <c r="K297" i="6"/>
  <c r="K116" i="6"/>
  <c r="K162" i="6"/>
  <c r="K371" i="6"/>
  <c r="K245" i="6"/>
  <c r="K5" i="6"/>
  <c r="K255" i="6"/>
  <c r="K150" i="6"/>
  <c r="K181" i="6"/>
  <c r="K228" i="6"/>
  <c r="K149" i="6"/>
  <c r="K251" i="6"/>
  <c r="K133" i="6"/>
  <c r="K137" i="6"/>
  <c r="P137" i="6" s="1"/>
  <c r="R137" i="6" s="1"/>
  <c r="K123" i="6"/>
  <c r="K225" i="6"/>
  <c r="K33" i="6"/>
  <c r="K29" i="6"/>
  <c r="K376" i="6"/>
  <c r="K188" i="6"/>
  <c r="K79" i="6"/>
  <c r="K57" i="6"/>
  <c r="K226" i="6"/>
  <c r="K313" i="6"/>
  <c r="K362" i="6"/>
  <c r="K167" i="6"/>
  <c r="K8" i="6"/>
  <c r="K340" i="6"/>
  <c r="K261" i="6"/>
  <c r="K130" i="6"/>
  <c r="K44" i="6"/>
  <c r="K59" i="6"/>
  <c r="K37" i="6"/>
  <c r="K272" i="6"/>
  <c r="K354" i="6"/>
  <c r="K164" i="6"/>
  <c r="K293" i="6"/>
  <c r="K135" i="6"/>
  <c r="K63" i="6"/>
  <c r="K284" i="6"/>
  <c r="K48" i="6"/>
  <c r="K195" i="6"/>
  <c r="K15" i="6"/>
  <c r="K140" i="6"/>
  <c r="K295" i="6"/>
  <c r="K105" i="6"/>
  <c r="K191" i="6"/>
  <c r="K315" i="6"/>
  <c r="K253" i="6"/>
  <c r="K220" i="6"/>
  <c r="K26" i="6"/>
  <c r="K132" i="6"/>
  <c r="K234" i="6"/>
  <c r="K336" i="6"/>
  <c r="K111" i="6"/>
  <c r="K127" i="6"/>
  <c r="K154" i="6"/>
  <c r="K13" i="6"/>
  <c r="K230" i="6"/>
  <c r="P230" i="6" s="1"/>
  <c r="Q230" i="6" s="1"/>
  <c r="K53" i="6"/>
  <c r="K258" i="6"/>
  <c r="K34" i="6"/>
  <c r="K377" i="6"/>
  <c r="K20" i="6"/>
  <c r="K217" i="6"/>
  <c r="K241" i="6"/>
  <c r="K113" i="6"/>
  <c r="K64" i="6"/>
  <c r="K364" i="6"/>
  <c r="K270" i="6"/>
  <c r="K281" i="6"/>
  <c r="P281" i="6" s="1"/>
  <c r="R281" i="6" s="1"/>
  <c r="K100" i="6"/>
  <c r="K235" i="6"/>
  <c r="K330" i="6"/>
  <c r="K299" i="6"/>
  <c r="K294" i="6"/>
  <c r="K125" i="6"/>
  <c r="K229" i="6"/>
  <c r="K345" i="6"/>
  <c r="K201" i="6"/>
  <c r="K172" i="6"/>
  <c r="K9" i="6"/>
  <c r="K58" i="6"/>
  <c r="K71" i="6"/>
  <c r="K240" i="6"/>
  <c r="K19" i="6"/>
  <c r="K45" i="6"/>
  <c r="K117" i="6"/>
  <c r="K317" i="6"/>
  <c r="K274" i="6"/>
  <c r="K381" i="6"/>
  <c r="K139" i="6"/>
  <c r="K288" i="6"/>
  <c r="K338" i="6"/>
  <c r="K213" i="6"/>
  <c r="K110" i="6"/>
  <c r="K144" i="6"/>
  <c r="K35" i="6"/>
  <c r="K246" i="6"/>
  <c r="K115" i="6"/>
  <c r="K106" i="6"/>
  <c r="K165" i="6"/>
  <c r="K363" i="6"/>
  <c r="K237" i="6"/>
  <c r="K74" i="6"/>
  <c r="K3" i="6"/>
  <c r="K286" i="6"/>
  <c r="K170" i="6"/>
  <c r="K124" i="6"/>
  <c r="K321" i="6"/>
  <c r="K233" i="6"/>
  <c r="K28" i="6"/>
  <c r="K209" i="6"/>
  <c r="K17" i="6"/>
  <c r="K61" i="6"/>
  <c r="K168" i="6"/>
  <c r="K108" i="6"/>
  <c r="K30" i="6"/>
  <c r="K166" i="6"/>
  <c r="K178" i="6"/>
  <c r="K320" i="6"/>
  <c r="K264" i="6"/>
  <c r="K24" i="6"/>
  <c r="K90" i="6"/>
  <c r="K242" i="6"/>
  <c r="K224" i="6"/>
  <c r="K143" i="6"/>
  <c r="K182" i="6"/>
  <c r="K333" i="6"/>
  <c r="K236" i="6"/>
  <c r="K205" i="6"/>
  <c r="K325" i="6"/>
  <c r="K68" i="6"/>
  <c r="K360" i="6"/>
  <c r="K221" i="6"/>
  <c r="K92" i="6"/>
  <c r="K169" i="6"/>
  <c r="K16" i="6"/>
  <c r="K126" i="6"/>
  <c r="K91" i="6"/>
  <c r="K49" i="6"/>
  <c r="K267" i="6"/>
  <c r="K287" i="6"/>
  <c r="K302" i="6"/>
  <c r="K72" i="6"/>
  <c r="K62" i="6"/>
  <c r="K300" i="6"/>
  <c r="K332" i="6"/>
  <c r="K238" i="6"/>
  <c r="K77" i="6"/>
  <c r="K93" i="6"/>
  <c r="K296" i="6"/>
  <c r="K80" i="6"/>
  <c r="P80" i="6" s="1"/>
  <c r="R80" i="6" s="1"/>
  <c r="K306" i="6"/>
  <c r="K343" i="6"/>
  <c r="K107" i="6"/>
  <c r="K67" i="6"/>
  <c r="K349" i="6"/>
  <c r="K271" i="6"/>
  <c r="K204" i="6"/>
  <c r="P204" i="6" s="1"/>
  <c r="R204" i="6" s="1"/>
  <c r="K198" i="6"/>
  <c r="K252" i="6"/>
  <c r="K206" i="6"/>
  <c r="K353" i="6"/>
  <c r="K269" i="6"/>
  <c r="K65" i="6"/>
  <c r="K207" i="6"/>
  <c r="K97" i="6"/>
  <c r="K334" i="6"/>
  <c r="K155" i="6"/>
  <c r="K99" i="6"/>
  <c r="K75" i="6"/>
  <c r="K232" i="6"/>
  <c r="K351" i="6"/>
  <c r="K119" i="6"/>
  <c r="K308" i="6"/>
  <c r="K312" i="6"/>
  <c r="K346" i="6"/>
  <c r="K83" i="6"/>
  <c r="K102" i="6"/>
  <c r="K4" i="6"/>
  <c r="K21" i="6"/>
  <c r="K319" i="6"/>
  <c r="K138" i="6"/>
  <c r="K175" i="6"/>
  <c r="K348" i="6"/>
  <c r="K142" i="6"/>
  <c r="K379" i="6"/>
  <c r="K273" i="6"/>
  <c r="K329" i="6"/>
  <c r="K222" i="6"/>
  <c r="K43" i="6"/>
  <c r="K301" i="6"/>
  <c r="K87" i="6"/>
  <c r="K254" i="6"/>
  <c r="P254" i="6" s="1"/>
  <c r="Q254" i="6" s="1"/>
  <c r="K120" i="6"/>
  <c r="K147" i="6"/>
  <c r="K370" i="6"/>
  <c r="K373" i="6"/>
  <c r="K194" i="6"/>
  <c r="K6" i="6"/>
  <c r="K94" i="6"/>
  <c r="K361" i="6"/>
  <c r="K146" i="6"/>
  <c r="K78" i="6"/>
  <c r="K95" i="6"/>
  <c r="K176" i="6"/>
  <c r="K280" i="6"/>
  <c r="K328" i="6"/>
  <c r="K192" i="6"/>
  <c r="K259" i="6"/>
  <c r="K218" i="6"/>
  <c r="K173" i="6"/>
  <c r="P173" i="6" s="1"/>
  <c r="R173" i="6" s="1"/>
  <c r="K161" i="6"/>
  <c r="K129" i="6"/>
  <c r="K326" i="6"/>
  <c r="K174" i="6"/>
  <c r="K96" i="6"/>
  <c r="K22" i="6"/>
  <c r="K112" i="6"/>
  <c r="K81" i="6"/>
  <c r="K231" i="6"/>
  <c r="K47" i="6"/>
  <c r="K344" i="6"/>
  <c r="K160" i="6"/>
  <c r="K323" i="6"/>
  <c r="K331" i="6"/>
  <c r="K66" i="6"/>
  <c r="K249" i="6"/>
  <c r="K10" i="6"/>
  <c r="K185" i="6"/>
  <c r="K42" i="6"/>
  <c r="K200" i="6"/>
  <c r="P200" i="6" s="1"/>
  <c r="Q200" i="6" s="1"/>
  <c r="K131" i="6"/>
  <c r="K14" i="6"/>
  <c r="K214" i="6"/>
  <c r="K82" i="6"/>
  <c r="K244" i="6"/>
  <c r="K163" i="6"/>
  <c r="K134" i="6"/>
  <c r="K23" i="6"/>
  <c r="K18" i="6"/>
  <c r="K366" i="6"/>
  <c r="K88" i="6"/>
  <c r="K367" i="6"/>
  <c r="K208" i="6"/>
  <c r="K378" i="6"/>
  <c r="K202" i="6"/>
  <c r="K38" i="6"/>
  <c r="K309" i="6"/>
  <c r="K118" i="6"/>
  <c r="K374" i="6"/>
  <c r="K355" i="6"/>
  <c r="K158" i="6"/>
  <c r="K55" i="6"/>
  <c r="K372" i="6"/>
  <c r="K268" i="6"/>
  <c r="K310" i="6"/>
  <c r="K290" i="6"/>
  <c r="K60" i="6"/>
  <c r="K311" i="6"/>
  <c r="K183" i="6"/>
  <c r="K356" i="6"/>
  <c r="K36" i="6"/>
  <c r="K291" i="6"/>
  <c r="K266" i="6"/>
  <c r="P266" i="6" s="1"/>
  <c r="Q266" i="6" s="1"/>
  <c r="K109" i="6"/>
  <c r="K322" i="6"/>
  <c r="K84" i="6"/>
  <c r="K257" i="6"/>
  <c r="K152" i="6"/>
  <c r="K151" i="6"/>
  <c r="K98" i="6"/>
  <c r="P98" i="6" s="1"/>
  <c r="Q98" i="6" s="1"/>
  <c r="K50" i="6"/>
  <c r="K342" i="6"/>
  <c r="K199" i="6"/>
  <c r="K227" i="6"/>
  <c r="K128" i="6"/>
  <c r="P128" i="6" s="1"/>
  <c r="Q128" i="6" s="1"/>
  <c r="K31" i="6"/>
  <c r="K157" i="6"/>
  <c r="K276" i="6"/>
  <c r="K318" i="6"/>
  <c r="K189" i="6"/>
  <c r="K89" i="6"/>
  <c r="K46" i="6"/>
  <c r="K41" i="6"/>
  <c r="K203" i="6"/>
  <c r="K282" i="6"/>
  <c r="K196" i="6"/>
  <c r="K76" i="6"/>
  <c r="K177" i="6"/>
  <c r="K314" i="6"/>
  <c r="K262" i="6"/>
  <c r="K278" i="6"/>
  <c r="K298" i="6"/>
  <c r="K265" i="6"/>
  <c r="K148" i="6"/>
  <c r="K184" i="6"/>
  <c r="P184" i="6" s="1"/>
  <c r="Q184" i="6" s="1"/>
  <c r="K277" i="6"/>
  <c r="K375" i="6"/>
  <c r="K54" i="6"/>
  <c r="K350" i="6"/>
  <c r="K337" i="6"/>
  <c r="K248" i="6"/>
  <c r="K103" i="6"/>
  <c r="K211" i="6"/>
  <c r="K247" i="6"/>
  <c r="K141" i="6"/>
  <c r="K212" i="6"/>
  <c r="K304" i="6"/>
  <c r="K380" i="6"/>
  <c r="K179" i="6"/>
  <c r="K114" i="6"/>
  <c r="K283" i="6"/>
  <c r="K12" i="6"/>
  <c r="K260" i="6"/>
  <c r="K171" i="6"/>
  <c r="K40" i="6"/>
  <c r="K70" i="6"/>
  <c r="K339" i="6"/>
  <c r="K39" i="6"/>
  <c r="K256" i="6"/>
  <c r="K180" i="6"/>
  <c r="K324" i="6"/>
  <c r="K263" i="6"/>
  <c r="K347" i="6"/>
  <c r="K307" i="6"/>
  <c r="K359" i="6"/>
  <c r="K341" i="6"/>
  <c r="K51" i="6"/>
  <c r="K292" i="6"/>
  <c r="P292" i="6" s="1"/>
  <c r="K104" i="6"/>
  <c r="K85" i="6"/>
  <c r="K239" i="6"/>
  <c r="P239" i="6" s="1"/>
  <c r="Q239" i="6" s="1"/>
  <c r="K215" i="6"/>
  <c r="K156" i="6"/>
  <c r="K56" i="6"/>
  <c r="K73" i="6"/>
  <c r="K365" i="6"/>
  <c r="K305" i="6"/>
  <c r="K186" i="6"/>
  <c r="P186" i="6" s="1"/>
  <c r="R186" i="6" s="1"/>
  <c r="K122" i="6"/>
  <c r="K101" i="6"/>
  <c r="K303" i="6"/>
  <c r="K289" i="6"/>
  <c r="K357" i="6"/>
  <c r="K352" i="6"/>
  <c r="K327" i="6"/>
  <c r="K210" i="6"/>
  <c r="P210" i="6" s="1"/>
  <c r="Q210" i="6" s="1"/>
  <c r="K197" i="6"/>
  <c r="K86" i="6"/>
  <c r="K358" i="6"/>
  <c r="K159" i="6"/>
  <c r="C309" i="6"/>
  <c r="C265" i="6"/>
  <c r="C320" i="6"/>
  <c r="C225" i="6"/>
  <c r="C224" i="6"/>
  <c r="C381" i="6"/>
  <c r="C201" i="6"/>
  <c r="C171" i="6"/>
  <c r="C296" i="6"/>
  <c r="K368" i="6"/>
  <c r="C152" i="6"/>
  <c r="C375" i="6"/>
  <c r="C129" i="6"/>
  <c r="C19" i="6"/>
  <c r="C335" i="6"/>
  <c r="C68" i="6"/>
  <c r="C227" i="6"/>
  <c r="C212" i="6"/>
  <c r="C329" i="6"/>
  <c r="C239" i="6"/>
  <c r="C286" i="6"/>
  <c r="C282" i="6"/>
  <c r="C149" i="6"/>
  <c r="C84" i="6"/>
  <c r="C319" i="6"/>
  <c r="C237" i="6"/>
  <c r="C312" i="6"/>
  <c r="C72" i="6"/>
  <c r="C342" i="6"/>
  <c r="C153" i="6"/>
  <c r="C21" i="6"/>
  <c r="C216" i="6"/>
  <c r="C285" i="6"/>
  <c r="C27" i="6"/>
  <c r="C192" i="6"/>
  <c r="C46" i="6"/>
  <c r="C54" i="6"/>
  <c r="C315" i="6"/>
  <c r="C73" i="6"/>
  <c r="C88" i="6"/>
  <c r="C61" i="6"/>
  <c r="C36" i="6"/>
  <c r="C58" i="6"/>
  <c r="C172" i="6"/>
  <c r="C173" i="6"/>
  <c r="C295" i="6"/>
  <c r="C179" i="6"/>
  <c r="C325" i="6"/>
  <c r="C366" i="6"/>
  <c r="C316" i="6"/>
  <c r="C217" i="6"/>
  <c r="C6" i="6"/>
  <c r="C197" i="6"/>
  <c r="C146" i="6"/>
  <c r="C59" i="6"/>
  <c r="C71" i="6"/>
  <c r="C367" i="6"/>
  <c r="C120" i="6"/>
  <c r="C290" i="6"/>
  <c r="C47" i="6"/>
  <c r="C233" i="6"/>
  <c r="C163" i="6"/>
  <c r="C136" i="6"/>
  <c r="C122" i="6"/>
  <c r="C302" i="6"/>
  <c r="C115" i="6"/>
  <c r="C279" i="6"/>
  <c r="C70" i="6"/>
  <c r="C280" i="6"/>
  <c r="C22" i="6"/>
  <c r="C106" i="6"/>
  <c r="C244" i="6"/>
  <c r="C170" i="6"/>
  <c r="C74" i="6"/>
  <c r="C96" i="6"/>
  <c r="C253" i="6"/>
  <c r="C157" i="6"/>
  <c r="C107" i="6"/>
  <c r="C151" i="6"/>
  <c r="C121" i="6"/>
  <c r="C165" i="6"/>
  <c r="C17" i="6"/>
  <c r="C13" i="6"/>
  <c r="C49" i="6"/>
  <c r="C4" i="6"/>
  <c r="C274" i="6"/>
  <c r="C283" i="6"/>
  <c r="C141" i="6"/>
  <c r="C235" i="6"/>
  <c r="C378" i="6"/>
  <c r="C370" i="6"/>
  <c r="C333" i="6"/>
  <c r="C222" i="6"/>
  <c r="C349" i="6"/>
  <c r="C218" i="6"/>
  <c r="C221" i="6"/>
  <c r="C85" i="6"/>
  <c r="C87" i="6"/>
  <c r="C50" i="6"/>
  <c r="C43" i="6"/>
  <c r="C183" i="6"/>
  <c r="C169" i="6"/>
  <c r="C31" i="6"/>
  <c r="C205" i="6"/>
  <c r="C275" i="6"/>
  <c r="C41" i="6"/>
  <c r="C82" i="6"/>
  <c r="C362" i="6"/>
  <c r="C98" i="6"/>
  <c r="C303" i="6"/>
  <c r="C3" i="6"/>
  <c r="C131" i="6"/>
  <c r="C24" i="6"/>
  <c r="C313" i="6"/>
  <c r="C338" i="6"/>
  <c r="C252" i="6"/>
  <c r="C134" i="6"/>
  <c r="C139" i="6"/>
  <c r="C90" i="6"/>
  <c r="C75" i="6"/>
  <c r="C193" i="6"/>
  <c r="C155" i="6"/>
  <c r="C352" i="6"/>
  <c r="C23" i="6"/>
  <c r="C103" i="6"/>
  <c r="C299" i="6"/>
  <c r="C213" i="6"/>
  <c r="C314" i="6"/>
  <c r="C164" i="6"/>
  <c r="C269" i="6"/>
  <c r="C220" i="6"/>
  <c r="C364" i="6"/>
  <c r="C159" i="6"/>
  <c r="C348" i="6"/>
  <c r="C196" i="6"/>
  <c r="C308" i="6"/>
  <c r="C273" i="6"/>
  <c r="C307" i="6"/>
  <c r="C293" i="6"/>
  <c r="C226" i="6"/>
  <c r="C317" i="6"/>
  <c r="C138" i="6"/>
  <c r="C184" i="6"/>
  <c r="C154" i="6"/>
  <c r="C209" i="6"/>
  <c r="C123" i="6"/>
  <c r="C93" i="6"/>
  <c r="C284" i="6"/>
  <c r="C298" i="6"/>
  <c r="C240" i="6"/>
  <c r="C190" i="6"/>
  <c r="C270" i="6"/>
  <c r="C30" i="6"/>
  <c r="C175" i="6"/>
  <c r="C108" i="6"/>
  <c r="C231" i="6"/>
  <c r="C294" i="6"/>
  <c r="C355" i="6"/>
  <c r="C144" i="6"/>
  <c r="C45" i="6"/>
  <c r="C101" i="6"/>
  <c r="C259" i="6"/>
  <c r="C78" i="6"/>
  <c r="C330" i="6"/>
  <c r="C51" i="6"/>
  <c r="C178" i="6"/>
  <c r="C60" i="6"/>
  <c r="C292" i="6"/>
  <c r="C242" i="6"/>
  <c r="C268" i="6"/>
  <c r="C372" i="6"/>
  <c r="C65" i="6"/>
  <c r="C143" i="6"/>
  <c r="C256" i="6"/>
  <c r="C262" i="6"/>
  <c r="C18" i="6"/>
  <c r="C219" i="6"/>
  <c r="C167" i="6"/>
  <c r="C350" i="6"/>
  <c r="C92" i="6"/>
  <c r="C195" i="6"/>
  <c r="C380" i="6"/>
  <c r="C332" i="6"/>
  <c r="C322" i="6"/>
  <c r="C288" i="6"/>
  <c r="C249" i="6"/>
  <c r="C306" i="6"/>
  <c r="C150" i="6"/>
  <c r="C198" i="6"/>
  <c r="C266" i="6"/>
  <c r="C185" i="6"/>
  <c r="C245" i="6"/>
  <c r="C191" i="6"/>
  <c r="C32" i="6"/>
  <c r="C102" i="6"/>
  <c r="C223" i="6"/>
  <c r="C255" i="6"/>
  <c r="C125" i="6"/>
  <c r="C257" i="6"/>
  <c r="C331" i="6"/>
  <c r="C248" i="6"/>
  <c r="C361" i="6"/>
  <c r="C109" i="6"/>
  <c r="C260" i="6"/>
  <c r="C117" i="6"/>
  <c r="C347" i="6"/>
  <c r="C324" i="6"/>
  <c r="C104" i="6"/>
  <c r="C16" i="6"/>
  <c r="C66" i="6"/>
  <c r="C374" i="6"/>
  <c r="C194" i="6"/>
  <c r="C83" i="6"/>
  <c r="C142" i="6"/>
  <c r="C199" i="6"/>
  <c r="C304" i="6"/>
  <c r="C44" i="6"/>
  <c r="C110" i="6"/>
  <c r="C351" i="6"/>
  <c r="C33" i="6"/>
  <c r="C360" i="6"/>
  <c r="C9" i="6"/>
  <c r="C241" i="6"/>
  <c r="C229" i="6"/>
  <c r="C180" i="6"/>
  <c r="C130" i="6"/>
  <c r="C137" i="6"/>
  <c r="C160" i="6"/>
  <c r="C156" i="6"/>
  <c r="C42" i="6"/>
  <c r="C359" i="6"/>
  <c r="C202" i="6"/>
  <c r="C67" i="6"/>
  <c r="C168" i="6"/>
  <c r="C11" i="6"/>
  <c r="C250" i="6"/>
  <c r="C69" i="6"/>
  <c r="C365" i="6"/>
  <c r="C39" i="6"/>
  <c r="C305" i="6"/>
  <c r="C135" i="6"/>
  <c r="C187" i="6"/>
  <c r="C5" i="6"/>
  <c r="C345" i="6"/>
  <c r="C207" i="6"/>
  <c r="C79" i="6"/>
  <c r="C10" i="6"/>
  <c r="C89" i="6"/>
  <c r="C287" i="6"/>
  <c r="C251" i="6"/>
  <c r="C321" i="6"/>
  <c r="C323" i="6"/>
  <c r="C124" i="6"/>
  <c r="C133" i="6"/>
  <c r="C35" i="6"/>
  <c r="C81" i="6"/>
  <c r="C328" i="6"/>
  <c r="C346" i="6"/>
  <c r="C310" i="6"/>
  <c r="C145" i="6"/>
  <c r="C126" i="6"/>
  <c r="C289" i="6"/>
  <c r="C301" i="6"/>
  <c r="C29" i="6"/>
  <c r="C91" i="6"/>
  <c r="C228" i="6"/>
  <c r="C326" i="6"/>
  <c r="C246" i="6"/>
  <c r="C8" i="6"/>
  <c r="C369" i="6"/>
  <c r="C48" i="6"/>
  <c r="C100" i="6"/>
  <c r="C162" i="6"/>
  <c r="C188" i="6"/>
  <c r="C336" i="6"/>
  <c r="C7" i="6"/>
  <c r="C264" i="6"/>
  <c r="C99" i="6"/>
  <c r="C140" i="6"/>
  <c r="C127" i="6"/>
  <c r="C206" i="6"/>
  <c r="C230" i="6"/>
  <c r="C334" i="6"/>
  <c r="C181" i="6"/>
  <c r="C358" i="6"/>
  <c r="C377" i="6"/>
  <c r="C148" i="6"/>
  <c r="C64" i="6"/>
  <c r="C186" i="6"/>
  <c r="C236" i="6"/>
  <c r="C132" i="6"/>
  <c r="C261" i="6"/>
  <c r="C281" i="6"/>
  <c r="C211" i="6"/>
  <c r="C276" i="6"/>
  <c r="C116" i="6"/>
  <c r="C376" i="6"/>
  <c r="C263" i="6"/>
  <c r="C113" i="6"/>
  <c r="C337" i="6"/>
  <c r="C247" i="6"/>
  <c r="C214" i="6"/>
  <c r="C55" i="6"/>
  <c r="C311" i="6"/>
  <c r="C357" i="6"/>
  <c r="C379" i="6"/>
  <c r="C339" i="6"/>
  <c r="C371" i="6"/>
  <c r="C272" i="6"/>
  <c r="C258" i="6"/>
  <c r="C166" i="6"/>
  <c r="C176" i="6"/>
  <c r="C52" i="6"/>
  <c r="C343" i="6"/>
  <c r="C76" i="6"/>
  <c r="C95" i="6"/>
  <c r="C20" i="6"/>
  <c r="C238" i="6"/>
  <c r="C204" i="6"/>
  <c r="C77" i="6"/>
  <c r="C353" i="6"/>
  <c r="C271" i="6"/>
  <c r="C63" i="6"/>
  <c r="C53" i="6"/>
  <c r="C189" i="6"/>
  <c r="C80" i="6"/>
  <c r="C177" i="6"/>
  <c r="C174" i="6"/>
  <c r="C37" i="6"/>
  <c r="C105" i="6"/>
  <c r="C210" i="6"/>
  <c r="C340" i="6"/>
  <c r="C114" i="6"/>
  <c r="C12" i="6"/>
  <c r="C368" i="6"/>
  <c r="C62" i="6"/>
  <c r="C86" i="6"/>
  <c r="C363" i="6"/>
  <c r="C182" i="6"/>
  <c r="C26" i="6"/>
  <c r="C128" i="6"/>
  <c r="C97" i="6"/>
  <c r="C291" i="6"/>
  <c r="C111" i="6"/>
  <c r="C38" i="6"/>
  <c r="C15" i="6"/>
  <c r="C232" i="6"/>
  <c r="C278" i="6"/>
  <c r="C254" i="6"/>
  <c r="C56" i="6"/>
  <c r="C158" i="6"/>
  <c r="C25" i="6"/>
  <c r="C215" i="6"/>
  <c r="C341" i="6"/>
  <c r="C203" i="6"/>
  <c r="C277" i="6"/>
  <c r="C147" i="6"/>
  <c r="C356" i="6"/>
  <c r="C94" i="6"/>
  <c r="C300" i="6"/>
  <c r="C118" i="6"/>
  <c r="C34" i="6"/>
  <c r="C200" i="6"/>
  <c r="C40" i="6"/>
  <c r="C208" i="6"/>
  <c r="C373" i="6"/>
  <c r="C297" i="6"/>
  <c r="C234" i="6"/>
  <c r="C57" i="6"/>
  <c r="C267" i="6"/>
  <c r="C318" i="6"/>
  <c r="C354" i="6"/>
  <c r="C161" i="6"/>
  <c r="C327" i="6"/>
  <c r="C119" i="6"/>
  <c r="C112" i="6"/>
  <c r="C28" i="6"/>
  <c r="C243" i="6"/>
  <c r="C344" i="6"/>
  <c r="C2" i="6"/>
  <c r="C54" i="4"/>
  <c r="C55" i="4" s="1"/>
  <c r="D67" i="4"/>
  <c r="E67" i="4" s="1"/>
  <c r="D65" i="4"/>
  <c r="G86" i="1" s="1"/>
  <c r="P116" i="6" l="1"/>
  <c r="R116" i="6" s="1"/>
  <c r="P284" i="6"/>
  <c r="Q284" i="6" s="1"/>
  <c r="P33" i="6"/>
  <c r="Q33" i="6" s="1"/>
  <c r="P76" i="6"/>
  <c r="Q76" i="6" s="1"/>
  <c r="P62" i="6"/>
  <c r="Q62" i="6" s="1"/>
  <c r="P175" i="6"/>
  <c r="R175" i="6" s="1"/>
  <c r="P269" i="6"/>
  <c r="R269" i="6" s="1"/>
  <c r="P278" i="6"/>
  <c r="Q278" i="6" s="1"/>
  <c r="P50" i="6"/>
  <c r="Q50" i="6" s="1"/>
  <c r="P360" i="6"/>
  <c r="R360" i="6" s="1"/>
  <c r="P90" i="6"/>
  <c r="R90" i="6" s="1"/>
  <c r="P140" i="6"/>
  <c r="R140" i="6" s="1"/>
  <c r="P290" i="6"/>
  <c r="Q290" i="6" s="1"/>
  <c r="P301" i="6"/>
  <c r="R301" i="6" s="1"/>
  <c r="C58" i="4"/>
  <c r="C60" i="4" s="1"/>
  <c r="E63" i="4" s="1"/>
  <c r="D68" i="4"/>
  <c r="E68" i="4" s="1"/>
  <c r="P152" i="6"/>
  <c r="Q152" i="6" s="1"/>
  <c r="C57" i="4"/>
  <c r="C61" i="4" s="1"/>
  <c r="C140" i="4"/>
  <c r="D66" i="4"/>
  <c r="F66" i="4" s="1"/>
  <c r="F48" i="4"/>
  <c r="E78" i="1" s="1"/>
  <c r="P280" i="6"/>
  <c r="R280" i="6" s="1"/>
  <c r="P296" i="6"/>
  <c r="R296" i="6" s="1"/>
  <c r="P93" i="6"/>
  <c r="R93" i="6" s="1"/>
  <c r="P367" i="6"/>
  <c r="R367" i="6" s="1"/>
  <c r="P282" i="6"/>
  <c r="R282" i="6" s="1"/>
  <c r="P221" i="6"/>
  <c r="Q221" i="6" s="1"/>
  <c r="P381" i="6"/>
  <c r="R381" i="6" s="1"/>
  <c r="C97" i="4"/>
  <c r="D97" i="4" s="1"/>
  <c r="E97" i="4" s="1"/>
  <c r="D98" i="1" s="1"/>
  <c r="P198" i="6"/>
  <c r="Q198" i="6" s="1"/>
  <c r="P2" i="6"/>
  <c r="R2" i="6" s="1"/>
  <c r="P371" i="6"/>
  <c r="R371" i="6" s="1"/>
  <c r="P235" i="6"/>
  <c r="Q235" i="6" s="1"/>
  <c r="P25" i="6"/>
  <c r="R25" i="6" s="1"/>
  <c r="P372" i="6"/>
  <c r="R372" i="6" s="1"/>
  <c r="P272" i="6"/>
  <c r="R272" i="6" s="1"/>
  <c r="P312" i="6"/>
  <c r="R312" i="6" s="1"/>
  <c r="P17" i="6"/>
  <c r="Q17" i="6" s="1"/>
  <c r="P205" i="6"/>
  <c r="Q205" i="6" s="1"/>
  <c r="P95" i="6"/>
  <c r="Q95" i="6" s="1"/>
  <c r="P147" i="6"/>
  <c r="R147" i="6" s="1"/>
  <c r="P273" i="6"/>
  <c r="R273" i="6" s="1"/>
  <c r="P185" i="6"/>
  <c r="Q185" i="6" s="1"/>
  <c r="P166" i="6"/>
  <c r="R166" i="6" s="1"/>
  <c r="P30" i="6"/>
  <c r="Q30" i="6" s="1"/>
  <c r="P133" i="6"/>
  <c r="R133" i="6" s="1"/>
  <c r="P174" i="6"/>
  <c r="Q174" i="6" s="1"/>
  <c r="P378" i="6"/>
  <c r="R378" i="6" s="1"/>
  <c r="P222" i="6"/>
  <c r="Q222" i="6" s="1"/>
  <c r="P345" i="6"/>
  <c r="R345" i="6" s="1"/>
  <c r="P191" i="6"/>
  <c r="Q191" i="6" s="1"/>
  <c r="P193" i="6"/>
  <c r="Q193" i="6" s="1"/>
  <c r="P215" i="6"/>
  <c r="R215" i="6" s="1"/>
  <c r="P119" i="6"/>
  <c r="Q119" i="6" s="1"/>
  <c r="P271" i="6"/>
  <c r="R271" i="6" s="1"/>
  <c r="P22" i="6"/>
  <c r="Q22" i="6" s="1"/>
  <c r="P370" i="6"/>
  <c r="R370" i="6" s="1"/>
  <c r="P349" i="6"/>
  <c r="R349" i="6" s="1"/>
  <c r="P77" i="6"/>
  <c r="R77" i="6" s="1"/>
  <c r="P338" i="6"/>
  <c r="R338" i="6" s="1"/>
  <c r="P115" i="6"/>
  <c r="R115" i="6" s="1"/>
  <c r="P177" i="6"/>
  <c r="Q177" i="6" s="1"/>
  <c r="P283" i="6"/>
  <c r="Q283" i="6" s="1"/>
  <c r="P264" i="6"/>
  <c r="R264" i="6" s="1"/>
  <c r="P341" i="6"/>
  <c r="Q341" i="6" s="1"/>
  <c r="P160" i="6"/>
  <c r="R160" i="6" s="1"/>
  <c r="P74" i="6"/>
  <c r="Q74" i="6" s="1"/>
  <c r="P217" i="6"/>
  <c r="R217" i="6" s="1"/>
  <c r="P344" i="6"/>
  <c r="Q344" i="6" s="1"/>
  <c r="P308" i="6"/>
  <c r="R308" i="6" s="1"/>
  <c r="P237" i="6"/>
  <c r="R237" i="6" s="1"/>
  <c r="P100" i="6"/>
  <c r="Q100" i="6" s="1"/>
  <c r="P84" i="6"/>
  <c r="R84" i="6" s="1"/>
  <c r="P78" i="6"/>
  <c r="Q78" i="6" s="1"/>
  <c r="P242" i="6"/>
  <c r="Q242" i="6" s="1"/>
  <c r="P327" i="6"/>
  <c r="R327" i="6" s="1"/>
  <c r="P305" i="6"/>
  <c r="R305" i="6" s="1"/>
  <c r="P324" i="6"/>
  <c r="R324" i="6" s="1"/>
  <c r="P374" i="6"/>
  <c r="R374" i="6" s="1"/>
  <c r="P170" i="6"/>
  <c r="R170" i="6" s="1"/>
  <c r="P53" i="6"/>
  <c r="R53" i="6" s="1"/>
  <c r="P251" i="6"/>
  <c r="R251" i="6" s="1"/>
  <c r="P189" i="6"/>
  <c r="R189" i="6" s="1"/>
  <c r="P286" i="6"/>
  <c r="Q286" i="6" s="1"/>
  <c r="P299" i="6"/>
  <c r="R299" i="6" s="1"/>
  <c r="P7" i="6"/>
  <c r="Q7" i="6" s="1"/>
  <c r="P357" i="6"/>
  <c r="R357" i="6" s="1"/>
  <c r="P51" i="6"/>
  <c r="Q51" i="6" s="1"/>
  <c r="P94" i="6"/>
  <c r="R94" i="6" s="1"/>
  <c r="P348" i="6"/>
  <c r="Q348" i="6" s="1"/>
  <c r="P346" i="6"/>
  <c r="Q346" i="6" s="1"/>
  <c r="P330" i="6"/>
  <c r="R330" i="6" s="1"/>
  <c r="P29" i="6"/>
  <c r="R29" i="6" s="1"/>
  <c r="P38" i="6"/>
  <c r="R38" i="6" s="1"/>
  <c r="P6" i="6"/>
  <c r="Q6" i="6" s="1"/>
  <c r="P179" i="6"/>
  <c r="Q179" i="6" s="1"/>
  <c r="P248" i="6"/>
  <c r="R248" i="6" s="1"/>
  <c r="P151" i="6"/>
  <c r="R151" i="6" s="1"/>
  <c r="P134" i="6"/>
  <c r="R134" i="6" s="1"/>
  <c r="P110" i="6"/>
  <c r="Q110" i="6" s="1"/>
  <c r="P316" i="6"/>
  <c r="R316" i="6" s="1"/>
  <c r="P340" i="6"/>
  <c r="Q340" i="6" s="1"/>
  <c r="P241" i="6"/>
  <c r="R241" i="6" s="1"/>
  <c r="P336" i="6"/>
  <c r="Q336" i="6" s="1"/>
  <c r="P214" i="6"/>
  <c r="R214" i="6" s="1"/>
  <c r="P120" i="6"/>
  <c r="R120" i="6" s="1"/>
  <c r="P168" i="6"/>
  <c r="Q168" i="6" s="1"/>
  <c r="P342" i="6"/>
  <c r="R342" i="6" s="1"/>
  <c r="P14" i="6"/>
  <c r="Q14" i="6" s="1"/>
  <c r="P331" i="6"/>
  <c r="Q331" i="6" s="1"/>
  <c r="P181" i="6"/>
  <c r="R181" i="6" s="1"/>
  <c r="P268" i="6"/>
  <c r="R268" i="6" s="1"/>
  <c r="P183" i="6"/>
  <c r="Q183" i="6" s="1"/>
  <c r="P224" i="6"/>
  <c r="Q224" i="6" s="1"/>
  <c r="P234" i="6"/>
  <c r="Q234" i="6" s="1"/>
  <c r="P376" i="6"/>
  <c r="R376" i="6" s="1"/>
  <c r="P207" i="6"/>
  <c r="Q207" i="6" s="1"/>
  <c r="P44" i="6"/>
  <c r="Q44" i="6" s="1"/>
  <c r="P149" i="6"/>
  <c r="Q149" i="6" s="1"/>
  <c r="P380" i="6"/>
  <c r="R380" i="6" s="1"/>
  <c r="P356" i="6"/>
  <c r="Q356" i="6" s="1"/>
  <c r="P47" i="6"/>
  <c r="R47" i="6" s="1"/>
  <c r="P304" i="6"/>
  <c r="Q304" i="6" s="1"/>
  <c r="P71" i="6"/>
  <c r="R71" i="6" s="1"/>
  <c r="P188" i="6"/>
  <c r="R188" i="6" s="1"/>
  <c r="P12" i="6"/>
  <c r="Q12" i="6" s="1"/>
  <c r="P167" i="6"/>
  <c r="Q167" i="6" s="1"/>
  <c r="P114" i="6"/>
  <c r="R114" i="6" s="1"/>
  <c r="P253" i="6"/>
  <c r="Q253" i="6" s="1"/>
  <c r="P377" i="6"/>
  <c r="Q377" i="6" s="1"/>
  <c r="P79" i="6"/>
  <c r="R79" i="6" s="1"/>
  <c r="P52" i="6"/>
  <c r="R52" i="6" s="1"/>
  <c r="P131" i="6"/>
  <c r="R131" i="6" s="1"/>
  <c r="P192" i="6"/>
  <c r="R192" i="6" s="1"/>
  <c r="P87" i="6"/>
  <c r="Q87" i="6" s="1"/>
  <c r="P220" i="6"/>
  <c r="R220" i="6" s="1"/>
  <c r="P335" i="6"/>
  <c r="Q335" i="6" s="1"/>
  <c r="P69" i="6"/>
  <c r="R69" i="6" s="1"/>
  <c r="P103" i="6"/>
  <c r="Q103" i="6" s="1"/>
  <c r="P196" i="6"/>
  <c r="Q196" i="6" s="1"/>
  <c r="P72" i="6"/>
  <c r="Q72" i="6" s="1"/>
  <c r="P333" i="6"/>
  <c r="Q333" i="6" s="1"/>
  <c r="P32" i="6"/>
  <c r="Q32" i="6" s="1"/>
  <c r="P11" i="6"/>
  <c r="Q11" i="6" s="1"/>
  <c r="P303" i="6"/>
  <c r="Q303" i="6" s="1"/>
  <c r="P265" i="6"/>
  <c r="R265" i="6" s="1"/>
  <c r="P326" i="6"/>
  <c r="Q326" i="6" s="1"/>
  <c r="P138" i="6"/>
  <c r="R138" i="6" s="1"/>
  <c r="P302" i="6"/>
  <c r="R302" i="6" s="1"/>
  <c r="P178" i="6"/>
  <c r="Q178" i="6" s="1"/>
  <c r="P28" i="6"/>
  <c r="Q28" i="6" s="1"/>
  <c r="P86" i="6"/>
  <c r="Q86" i="6" s="1"/>
  <c r="P298" i="6"/>
  <c r="Q298" i="6" s="1"/>
  <c r="P203" i="6"/>
  <c r="Q203" i="6" s="1"/>
  <c r="P373" i="6"/>
  <c r="Q373" i="6" s="1"/>
  <c r="P45" i="6"/>
  <c r="R45" i="6" s="1"/>
  <c r="P111" i="6"/>
  <c r="R111" i="6" s="1"/>
  <c r="P63" i="6"/>
  <c r="Q63" i="6" s="1"/>
  <c r="P197" i="6"/>
  <c r="Q197" i="6" s="1"/>
  <c r="P171" i="6"/>
  <c r="Q171" i="6" s="1"/>
  <c r="P355" i="6"/>
  <c r="R355" i="6" s="1"/>
  <c r="P81" i="6"/>
  <c r="R81" i="6" s="1"/>
  <c r="P4" i="6"/>
  <c r="R4" i="6" s="1"/>
  <c r="P238" i="6"/>
  <c r="R238" i="6" s="1"/>
  <c r="P295" i="6"/>
  <c r="Q295" i="6" s="1"/>
  <c r="P379" i="6"/>
  <c r="R379" i="6" s="1"/>
  <c r="P353" i="6"/>
  <c r="Q353" i="6" s="1"/>
  <c r="P107" i="6"/>
  <c r="R107" i="6" s="1"/>
  <c r="P26" i="6"/>
  <c r="Q26" i="6" s="1"/>
  <c r="P113" i="6"/>
  <c r="R113" i="6" s="1"/>
  <c r="P309" i="6"/>
  <c r="Q309" i="6" s="1"/>
  <c r="P108" i="6"/>
  <c r="R108" i="6" s="1"/>
  <c r="P245" i="6"/>
  <c r="Q245" i="6" s="1"/>
  <c r="P58" i="6"/>
  <c r="Q58" i="6" s="1"/>
  <c r="P229" i="6"/>
  <c r="R229" i="6" s="1"/>
  <c r="P34" i="6"/>
  <c r="R34" i="6" s="1"/>
  <c r="P277" i="6"/>
  <c r="R277" i="6" s="1"/>
  <c r="P322" i="6"/>
  <c r="Q322" i="6" s="1"/>
  <c r="P91" i="6"/>
  <c r="Q91" i="6" s="1"/>
  <c r="P73" i="6"/>
  <c r="Q73" i="6" s="1"/>
  <c r="P155" i="6"/>
  <c r="Q155" i="6" s="1"/>
  <c r="P13" i="6"/>
  <c r="Q13" i="6" s="1"/>
  <c r="P332" i="6"/>
  <c r="R332" i="6" s="1"/>
  <c r="P209" i="6"/>
  <c r="R209" i="6" s="1"/>
  <c r="P144" i="6"/>
  <c r="R144" i="6" s="1"/>
  <c r="P190" i="6"/>
  <c r="R190" i="6" s="1"/>
  <c r="P104" i="6"/>
  <c r="R104" i="6" s="1"/>
  <c r="P358" i="6"/>
  <c r="R358" i="6" s="1"/>
  <c r="P43" i="6"/>
  <c r="Q43" i="6" s="1"/>
  <c r="P201" i="6"/>
  <c r="Q201" i="6" s="1"/>
  <c r="P127" i="6"/>
  <c r="Q127" i="6" s="1"/>
  <c r="P325" i="6"/>
  <c r="Q325" i="6" s="1"/>
  <c r="P337" i="6"/>
  <c r="Q337" i="6" s="1"/>
  <c r="P105" i="6"/>
  <c r="R105" i="6" s="1"/>
  <c r="P82" i="6"/>
  <c r="Q82" i="6" s="1"/>
  <c r="P369" i="6"/>
  <c r="R369" i="6" s="1"/>
  <c r="P122" i="6"/>
  <c r="Q122" i="6" s="1"/>
  <c r="P228" i="6"/>
  <c r="R228" i="6" s="1"/>
  <c r="P130" i="6"/>
  <c r="R130" i="6" s="1"/>
  <c r="P315" i="6"/>
  <c r="R315" i="6" s="1"/>
  <c r="P313" i="6"/>
  <c r="Q313" i="6" s="1"/>
  <c r="P10" i="6"/>
  <c r="Q10" i="6" s="1"/>
  <c r="P321" i="6"/>
  <c r="R321" i="6" s="1"/>
  <c r="P154" i="6"/>
  <c r="R154" i="6" s="1"/>
  <c r="P48" i="6"/>
  <c r="R48" i="6" s="1"/>
  <c r="P256" i="6"/>
  <c r="Q256" i="6" s="1"/>
  <c r="P83" i="6"/>
  <c r="R83" i="6" s="1"/>
  <c r="P351" i="6"/>
  <c r="R351" i="6" s="1"/>
  <c r="P261" i="6"/>
  <c r="Q261" i="6" s="1"/>
  <c r="P118" i="6"/>
  <c r="R118" i="6" s="1"/>
  <c r="P19" i="6"/>
  <c r="R19" i="6" s="1"/>
  <c r="P85" i="6"/>
  <c r="Q85" i="6" s="1"/>
  <c r="P67" i="6"/>
  <c r="Q67" i="6" s="1"/>
  <c r="P258" i="6"/>
  <c r="R258" i="6" s="1"/>
  <c r="P165" i="6"/>
  <c r="R165" i="6" s="1"/>
  <c r="P126" i="6"/>
  <c r="R126" i="6" s="1"/>
  <c r="P161" i="6"/>
  <c r="Q161" i="6" s="1"/>
  <c r="P306" i="6"/>
  <c r="Q306" i="6" s="1"/>
  <c r="P339" i="6"/>
  <c r="R339" i="6" s="1"/>
  <c r="P359" i="6"/>
  <c r="R359" i="6" s="1"/>
  <c r="P36" i="6"/>
  <c r="Q36" i="6" s="1"/>
  <c r="P194" i="6"/>
  <c r="Q194" i="6" s="1"/>
  <c r="P182" i="6"/>
  <c r="R182" i="6" s="1"/>
  <c r="P279" i="6"/>
  <c r="R279" i="6" s="1"/>
  <c r="P257" i="6"/>
  <c r="Q257" i="6" s="1"/>
  <c r="P208" i="6"/>
  <c r="Q208" i="6" s="1"/>
  <c r="P249" i="6"/>
  <c r="Q249" i="6" s="1"/>
  <c r="P260" i="6"/>
  <c r="Q260" i="6" s="1"/>
  <c r="P88" i="6"/>
  <c r="R88" i="6" s="1"/>
  <c r="P102" i="6"/>
  <c r="Q102" i="6" s="1"/>
  <c r="P64" i="6"/>
  <c r="R64" i="6" s="1"/>
  <c r="P164" i="6"/>
  <c r="R164" i="6" s="1"/>
  <c r="P180" i="6"/>
  <c r="Q180" i="6" s="1"/>
  <c r="P247" i="6"/>
  <c r="R247" i="6" s="1"/>
  <c r="P211" i="6"/>
  <c r="R211" i="6" s="1"/>
  <c r="P323" i="6"/>
  <c r="R323" i="6" s="1"/>
  <c r="P3" i="6"/>
  <c r="R3" i="6" s="1"/>
  <c r="P9" i="6"/>
  <c r="R9" i="6" s="1"/>
  <c r="P240" i="6"/>
  <c r="Q240" i="6" s="1"/>
  <c r="P125" i="6"/>
  <c r="R125" i="6" s="1"/>
  <c r="P366" i="6"/>
  <c r="R366" i="6" s="1"/>
  <c r="P159" i="6"/>
  <c r="R159" i="6" s="1"/>
  <c r="P225" i="6"/>
  <c r="Q225" i="6" s="1"/>
  <c r="P150" i="6"/>
  <c r="Q150" i="6" s="1"/>
  <c r="P70" i="6"/>
  <c r="R70" i="6" s="1"/>
  <c r="P129" i="6"/>
  <c r="Q129" i="6" s="1"/>
  <c r="P319" i="6"/>
  <c r="Q319" i="6" s="1"/>
  <c r="P363" i="6"/>
  <c r="Q363" i="6" s="1"/>
  <c r="P145" i="6"/>
  <c r="R145" i="6" s="1"/>
  <c r="P40" i="6"/>
  <c r="Q40" i="6" s="1"/>
  <c r="P212" i="6"/>
  <c r="Q212" i="6" s="1"/>
  <c r="P153" i="6"/>
  <c r="R153" i="6" s="1"/>
  <c r="P57" i="6"/>
  <c r="R57" i="6" s="1"/>
  <c r="P8" i="6"/>
  <c r="R8" i="6" s="1"/>
  <c r="P343" i="6"/>
  <c r="R343" i="6" s="1"/>
  <c r="P157" i="6"/>
  <c r="Q157" i="6" s="1"/>
  <c r="P202" i="6"/>
  <c r="R202" i="6" s="1"/>
  <c r="P59" i="6"/>
  <c r="R59" i="6" s="1"/>
  <c r="P236" i="6"/>
  <c r="R236" i="6" s="1"/>
  <c r="P263" i="6"/>
  <c r="Q263" i="6" s="1"/>
  <c r="P320" i="6"/>
  <c r="R320" i="6" s="1"/>
  <c r="P307" i="6"/>
  <c r="R307" i="6" s="1"/>
  <c r="P55" i="6"/>
  <c r="R55" i="6" s="1"/>
  <c r="P176" i="6"/>
  <c r="R176" i="6" s="1"/>
  <c r="P287" i="6"/>
  <c r="Q287" i="6" s="1"/>
  <c r="P213" i="6"/>
  <c r="Q213" i="6" s="1"/>
  <c r="P123" i="6"/>
  <c r="R123" i="6" s="1"/>
  <c r="P41" i="6"/>
  <c r="R41" i="6" s="1"/>
  <c r="P329" i="6"/>
  <c r="Q329" i="6" s="1"/>
  <c r="P68" i="6"/>
  <c r="R68" i="6" s="1"/>
  <c r="P364" i="6"/>
  <c r="Q364" i="6" s="1"/>
  <c r="P314" i="6"/>
  <c r="R314" i="6" s="1"/>
  <c r="P66" i="6"/>
  <c r="R66" i="6" s="1"/>
  <c r="P112" i="6"/>
  <c r="Q112" i="6" s="1"/>
  <c r="P146" i="6"/>
  <c r="R146" i="6" s="1"/>
  <c r="P75" i="6"/>
  <c r="Q75" i="6" s="1"/>
  <c r="P139" i="6"/>
  <c r="R139" i="6" s="1"/>
  <c r="P294" i="6"/>
  <c r="R294" i="6" s="1"/>
  <c r="P27" i="6"/>
  <c r="R27" i="6" s="1"/>
  <c r="P365" i="6"/>
  <c r="R365" i="6" s="1"/>
  <c r="P56" i="6"/>
  <c r="R56" i="6" s="1"/>
  <c r="P142" i="6"/>
  <c r="R142" i="6" s="1"/>
  <c r="P15" i="6"/>
  <c r="Q15" i="6" s="1"/>
  <c r="P334" i="6"/>
  <c r="R334" i="6" s="1"/>
  <c r="P35" i="6"/>
  <c r="R35" i="6" s="1"/>
  <c r="P135" i="6"/>
  <c r="R135" i="6" s="1"/>
  <c r="P61" i="6"/>
  <c r="R61" i="6" s="1"/>
  <c r="P252" i="6"/>
  <c r="R252" i="6" s="1"/>
  <c r="P195" i="6"/>
  <c r="Q195" i="6" s="1"/>
  <c r="P96" i="6"/>
  <c r="R96" i="6" s="1"/>
  <c r="P318" i="6"/>
  <c r="R318" i="6" s="1"/>
  <c r="P262" i="6"/>
  <c r="R262" i="6" s="1"/>
  <c r="P274" i="6"/>
  <c r="Q274" i="6" s="1"/>
  <c r="P246" i="6"/>
  <c r="R246" i="6" s="1"/>
  <c r="P143" i="6"/>
  <c r="Q143" i="6" s="1"/>
  <c r="P46" i="6"/>
  <c r="R46" i="6" s="1"/>
  <c r="P288" i="6"/>
  <c r="Q288" i="6" s="1"/>
  <c r="P293" i="6"/>
  <c r="R293" i="6" s="1"/>
  <c r="P285" i="6"/>
  <c r="R285" i="6" s="1"/>
  <c r="P42" i="6"/>
  <c r="R42" i="6" s="1"/>
  <c r="P162" i="6"/>
  <c r="Q162" i="6" s="1"/>
  <c r="P250" i="6"/>
  <c r="Q250" i="6" s="1"/>
  <c r="P233" i="6"/>
  <c r="R233" i="6" s="1"/>
  <c r="P18" i="6"/>
  <c r="R18" i="6" s="1"/>
  <c r="P310" i="6"/>
  <c r="R310" i="6" s="1"/>
  <c r="P267" i="6"/>
  <c r="Q267" i="6" s="1"/>
  <c r="P132" i="6"/>
  <c r="R132" i="6" s="1"/>
  <c r="P39" i="6"/>
  <c r="R39" i="6" s="1"/>
  <c r="P156" i="6"/>
  <c r="Q156" i="6" s="1"/>
  <c r="P97" i="6"/>
  <c r="R97" i="6" s="1"/>
  <c r="P92" i="6"/>
  <c r="R92" i="6" s="1"/>
  <c r="P117" i="6"/>
  <c r="R117" i="6" s="1"/>
  <c r="P20" i="6"/>
  <c r="Q20" i="6" s="1"/>
  <c r="P216" i="6"/>
  <c r="Q216" i="6" s="1"/>
  <c r="P23" i="6"/>
  <c r="R23" i="6" s="1"/>
  <c r="P218" i="6"/>
  <c r="R218" i="6" s="1"/>
  <c r="P275" i="6"/>
  <c r="R275" i="6" s="1"/>
  <c r="P317" i="6"/>
  <c r="Q317" i="6" s="1"/>
  <c r="P37" i="6"/>
  <c r="Q37" i="6" s="1"/>
  <c r="P206" i="6"/>
  <c r="R206" i="6" s="1"/>
  <c r="P172" i="6"/>
  <c r="Q172" i="6" s="1"/>
  <c r="P49" i="6"/>
  <c r="Q49" i="6" s="1"/>
  <c r="P54" i="6"/>
  <c r="R54" i="6" s="1"/>
  <c r="P361" i="6"/>
  <c r="R361" i="6" s="1"/>
  <c r="P328" i="6"/>
  <c r="Q328" i="6" s="1"/>
  <c r="P24" i="6"/>
  <c r="Q24" i="6" s="1"/>
  <c r="P232" i="6"/>
  <c r="Q232" i="6" s="1"/>
  <c r="P300" i="6"/>
  <c r="R300" i="6" s="1"/>
  <c r="P354" i="6"/>
  <c r="Q354" i="6" s="1"/>
  <c r="P223" i="6"/>
  <c r="R223" i="6" s="1"/>
  <c r="P141" i="6"/>
  <c r="R141" i="6" s="1"/>
  <c r="P375" i="6"/>
  <c r="R375" i="6" s="1"/>
  <c r="P89" i="6"/>
  <c r="R89" i="6" s="1"/>
  <c r="P60" i="6"/>
  <c r="R60" i="6" s="1"/>
  <c r="P169" i="6"/>
  <c r="R169" i="6" s="1"/>
  <c r="P121" i="6"/>
  <c r="Q121" i="6" s="1"/>
  <c r="P362" i="6"/>
  <c r="R362" i="6" s="1"/>
  <c r="P16" i="6"/>
  <c r="R16" i="6" s="1"/>
  <c r="P297" i="6"/>
  <c r="Q297" i="6" s="1"/>
  <c r="P99" i="6"/>
  <c r="Q99" i="6" s="1"/>
  <c r="P106" i="6"/>
  <c r="Q106" i="6" s="1"/>
  <c r="P311" i="6"/>
  <c r="Q311" i="6" s="1"/>
  <c r="P199" i="6"/>
  <c r="Q199" i="6" s="1"/>
  <c r="P227" i="6"/>
  <c r="R227" i="6" s="1"/>
  <c r="P259" i="6"/>
  <c r="Q259" i="6" s="1"/>
  <c r="P5" i="6"/>
  <c r="Q5" i="6" s="1"/>
  <c r="P136" i="6"/>
  <c r="R136" i="6" s="1"/>
  <c r="P124" i="6"/>
  <c r="R124" i="6" s="1"/>
  <c r="P219" i="6"/>
  <c r="R219" i="6" s="1"/>
  <c r="P270" i="6"/>
  <c r="Q270" i="6" s="1"/>
  <c r="P226" i="6"/>
  <c r="Q226" i="6" s="1"/>
  <c r="P347" i="6"/>
  <c r="Q347" i="6" s="1"/>
  <c r="P350" i="6"/>
  <c r="Q350" i="6" s="1"/>
  <c r="P158" i="6"/>
  <c r="Q158" i="6" s="1"/>
  <c r="P244" i="6"/>
  <c r="R244" i="6" s="1"/>
  <c r="P231" i="6"/>
  <c r="Q231" i="6" s="1"/>
  <c r="P21" i="6"/>
  <c r="Q21" i="6" s="1"/>
  <c r="P65" i="6"/>
  <c r="R65" i="6" s="1"/>
  <c r="P101" i="6"/>
  <c r="R101" i="6" s="1"/>
  <c r="P31" i="6"/>
  <c r="Q31" i="6" s="1"/>
  <c r="P163" i="6"/>
  <c r="Q163" i="6" s="1"/>
  <c r="P255" i="6"/>
  <c r="Q255" i="6" s="1"/>
  <c r="P368" i="6"/>
  <c r="Q368" i="6" s="1"/>
  <c r="P352" i="6"/>
  <c r="R352" i="6" s="1"/>
  <c r="P109" i="6"/>
  <c r="R109" i="6" s="1"/>
  <c r="P289" i="6"/>
  <c r="Q289" i="6" s="1"/>
  <c r="P148" i="6"/>
  <c r="R148" i="6" s="1"/>
  <c r="P276" i="6"/>
  <c r="Q276" i="6" s="1"/>
  <c r="P291" i="6"/>
  <c r="Q291" i="6" s="1"/>
  <c r="R292" i="6"/>
  <c r="Q292" i="6"/>
  <c r="Q301" i="6"/>
  <c r="C56" i="4"/>
  <c r="Q186" i="6"/>
  <c r="R239" i="6"/>
  <c r="R210" i="6"/>
  <c r="R278" i="6"/>
  <c r="R243" i="6"/>
  <c r="Q175" i="6"/>
  <c r="R230" i="6"/>
  <c r="R200" i="6"/>
  <c r="Q173" i="6"/>
  <c r="R187" i="6"/>
  <c r="R62" i="6"/>
  <c r="R76" i="6"/>
  <c r="Q269" i="6"/>
  <c r="R128" i="6"/>
  <c r="R266" i="6"/>
  <c r="R184" i="6"/>
  <c r="Q137" i="6"/>
  <c r="R284" i="6"/>
  <c r="Q80" i="6"/>
  <c r="Q204" i="6"/>
  <c r="Q116" i="6"/>
  <c r="R98" i="6"/>
  <c r="R152" i="6"/>
  <c r="Q281" i="6"/>
  <c r="R254" i="6"/>
  <c r="R50" i="6"/>
  <c r="R33" i="6"/>
  <c r="Q360" i="6" l="1"/>
  <c r="R290" i="6"/>
  <c r="Q140" i="6"/>
  <c r="Q90" i="6"/>
  <c r="C59" i="4"/>
  <c r="Q280" i="6"/>
  <c r="Q296" i="6"/>
  <c r="F68" i="4"/>
  <c r="E80" i="1" s="1"/>
  <c r="E66" i="4"/>
  <c r="F198" i="6"/>
  <c r="G198" i="6" s="1"/>
  <c r="H198" i="6" s="1"/>
  <c r="AA198" i="6" s="1"/>
  <c r="F376" i="6"/>
  <c r="G376" i="6" s="1"/>
  <c r="H376" i="6" s="1"/>
  <c r="F335" i="6"/>
  <c r="G335" i="6" s="1"/>
  <c r="I335" i="6" s="1"/>
  <c r="F70" i="6"/>
  <c r="G70" i="6" s="1"/>
  <c r="H70" i="6" s="1"/>
  <c r="F325" i="6"/>
  <c r="G325" i="6" s="1"/>
  <c r="I325" i="6" s="1"/>
  <c r="F249" i="6"/>
  <c r="G249" i="6" s="1"/>
  <c r="I249" i="6" s="1"/>
  <c r="F192" i="6"/>
  <c r="G192" i="6" s="1"/>
  <c r="I192" i="6" s="1"/>
  <c r="F309" i="6"/>
  <c r="G309" i="6" s="1"/>
  <c r="I309" i="6" s="1"/>
  <c r="F317" i="6"/>
  <c r="G317" i="6" s="1"/>
  <c r="H317" i="6" s="1"/>
  <c r="AA317" i="6" s="1"/>
  <c r="F107" i="6"/>
  <c r="G107" i="6" s="1"/>
  <c r="I107" i="6" s="1"/>
  <c r="AB107" i="6" s="1"/>
  <c r="F28" i="6"/>
  <c r="G28" i="6" s="1"/>
  <c r="I28" i="6" s="1"/>
  <c r="F311" i="6"/>
  <c r="G311" i="6" s="1"/>
  <c r="H311" i="6" s="1"/>
  <c r="AA311" i="6" s="1"/>
  <c r="F289" i="6"/>
  <c r="G289" i="6" s="1"/>
  <c r="I289" i="6" s="1"/>
  <c r="F159" i="6"/>
  <c r="G159" i="6" s="1"/>
  <c r="I159" i="6" s="1"/>
  <c r="AB159" i="6" s="1"/>
  <c r="F277" i="6"/>
  <c r="G277" i="6" s="1"/>
  <c r="H277" i="6" s="1"/>
  <c r="F341" i="6"/>
  <c r="G341" i="6" s="1"/>
  <c r="H341" i="6" s="1"/>
  <c r="AA341" i="6" s="1"/>
  <c r="F31" i="6"/>
  <c r="G31" i="6" s="1"/>
  <c r="H31" i="6" s="1"/>
  <c r="AA31" i="6" s="1"/>
  <c r="F326" i="6"/>
  <c r="G326" i="6" s="1"/>
  <c r="H326" i="6" s="1"/>
  <c r="AA326" i="6" s="1"/>
  <c r="F232" i="6"/>
  <c r="G232" i="6" s="1"/>
  <c r="H232" i="6" s="1"/>
  <c r="AA232" i="6" s="1"/>
  <c r="F366" i="6"/>
  <c r="G366" i="6" s="1"/>
  <c r="I366" i="6" s="1"/>
  <c r="AB366" i="6" s="1"/>
  <c r="F255" i="6"/>
  <c r="G255" i="6" s="1"/>
  <c r="I255" i="6" s="1"/>
  <c r="F38" i="6"/>
  <c r="G38" i="6" s="1"/>
  <c r="H38" i="6" s="1"/>
  <c r="F91" i="6"/>
  <c r="G91" i="6" s="1"/>
  <c r="H91" i="6" s="1"/>
  <c r="AA91" i="6" s="1"/>
  <c r="F227" i="6"/>
  <c r="G227" i="6" s="1"/>
  <c r="I227" i="6" s="1"/>
  <c r="AB227" i="6" s="1"/>
  <c r="F296" i="6"/>
  <c r="G296" i="6" s="1"/>
  <c r="H296" i="6" s="1"/>
  <c r="AA296" i="6" s="1"/>
  <c r="F374" i="6"/>
  <c r="G374" i="6" s="1"/>
  <c r="I374" i="6" s="1"/>
  <c r="AB374" i="6" s="1"/>
  <c r="F329" i="6"/>
  <c r="G329" i="6" s="1"/>
  <c r="I329" i="6" s="1"/>
  <c r="F346" i="6"/>
  <c r="G346" i="6" s="1"/>
  <c r="H346" i="6" s="1"/>
  <c r="AA346" i="6" s="1"/>
  <c r="F297" i="6"/>
  <c r="G297" i="6" s="1"/>
  <c r="H297" i="6" s="1"/>
  <c r="AA297" i="6" s="1"/>
  <c r="F369" i="6"/>
  <c r="G369" i="6" s="1"/>
  <c r="H369" i="6" s="1"/>
  <c r="F140" i="6"/>
  <c r="G140" i="6" s="1"/>
  <c r="H140" i="6" s="1"/>
  <c r="AA140" i="6" s="1"/>
  <c r="F41" i="6"/>
  <c r="G41" i="6" s="1"/>
  <c r="I41" i="6" s="1"/>
  <c r="AB41" i="6" s="1"/>
  <c r="F39" i="6"/>
  <c r="G39" i="6" s="1"/>
  <c r="I39" i="6" s="1"/>
  <c r="AB39" i="6" s="1"/>
  <c r="F135" i="6"/>
  <c r="G135" i="6" s="1"/>
  <c r="H135" i="6" s="1"/>
  <c r="F157" i="6"/>
  <c r="G157" i="6" s="1"/>
  <c r="H157" i="6" s="1"/>
  <c r="AA157" i="6" s="1"/>
  <c r="F347" i="6"/>
  <c r="G347" i="6" s="1"/>
  <c r="I347" i="6" s="1"/>
  <c r="F183" i="6"/>
  <c r="G183" i="6" s="1"/>
  <c r="I183" i="6" s="1"/>
  <c r="F143" i="6"/>
  <c r="G143" i="6" s="1"/>
  <c r="H143" i="6" s="1"/>
  <c r="AA143" i="6" s="1"/>
  <c r="F207" i="6"/>
  <c r="G207" i="6" s="1"/>
  <c r="H207" i="6" s="1"/>
  <c r="AA207" i="6" s="1"/>
  <c r="F377" i="6"/>
  <c r="G377" i="6" s="1"/>
  <c r="I377" i="6" s="1"/>
  <c r="F54" i="6"/>
  <c r="G54" i="6" s="1"/>
  <c r="H54" i="6" s="1"/>
  <c r="F90" i="6"/>
  <c r="G90" i="6" s="1"/>
  <c r="H90" i="6" s="1"/>
  <c r="AA90" i="6" s="1"/>
  <c r="F180" i="6"/>
  <c r="G180" i="6" s="1"/>
  <c r="I180" i="6" s="1"/>
  <c r="F308" i="6"/>
  <c r="G308" i="6" s="1"/>
  <c r="I308" i="6" s="1"/>
  <c r="AB308" i="6" s="1"/>
  <c r="F260" i="6"/>
  <c r="G260" i="6" s="1"/>
  <c r="H260" i="6" s="1"/>
  <c r="AA260" i="6" s="1"/>
  <c r="F282" i="6"/>
  <c r="G282" i="6" s="1"/>
  <c r="H282" i="6" s="1"/>
  <c r="F45" i="6"/>
  <c r="G45" i="6" s="1"/>
  <c r="H45" i="6" s="1"/>
  <c r="F76" i="6"/>
  <c r="G76" i="6" s="1"/>
  <c r="H76" i="6" s="1"/>
  <c r="AA76" i="6" s="1"/>
  <c r="F187" i="6"/>
  <c r="G187" i="6" s="1"/>
  <c r="H187" i="6" s="1"/>
  <c r="AA187" i="6" s="1"/>
  <c r="F230" i="6"/>
  <c r="G230" i="6" s="1"/>
  <c r="H230" i="6" s="1"/>
  <c r="AA230" i="6" s="1"/>
  <c r="F3" i="6"/>
  <c r="G3" i="6" s="1"/>
  <c r="H3" i="6" s="1"/>
  <c r="F168" i="6"/>
  <c r="G168" i="6" s="1"/>
  <c r="H168" i="6" s="1"/>
  <c r="AA168" i="6" s="1"/>
  <c r="F229" i="6"/>
  <c r="G229" i="6" s="1"/>
  <c r="H229" i="6" s="1"/>
  <c r="F210" i="6"/>
  <c r="G210" i="6" s="1"/>
  <c r="H210" i="6" s="1"/>
  <c r="AA210" i="6" s="1"/>
  <c r="F246" i="6"/>
  <c r="G246" i="6" s="1"/>
  <c r="H246" i="6" s="1"/>
  <c r="F217" i="6"/>
  <c r="G217" i="6" s="1"/>
  <c r="H217" i="6" s="1"/>
  <c r="F47" i="6"/>
  <c r="G47" i="6" s="1"/>
  <c r="I47" i="6" s="1"/>
  <c r="AB47" i="6" s="1"/>
  <c r="F109" i="6"/>
  <c r="G109" i="6" s="1"/>
  <c r="I109" i="6" s="1"/>
  <c r="AB109" i="6" s="1"/>
  <c r="F17" i="6"/>
  <c r="G17" i="6" s="1"/>
  <c r="H17" i="6" s="1"/>
  <c r="AA17" i="6" s="1"/>
  <c r="F186" i="6"/>
  <c r="G186" i="6" s="1"/>
  <c r="H186" i="6" s="1"/>
  <c r="AA186" i="6" s="1"/>
  <c r="F165" i="6"/>
  <c r="G165" i="6" s="1"/>
  <c r="H165" i="6" s="1"/>
  <c r="F237" i="6"/>
  <c r="G237" i="6" s="1"/>
  <c r="I237" i="6" s="1"/>
  <c r="AB237" i="6" s="1"/>
  <c r="F203" i="6"/>
  <c r="G203" i="6" s="1"/>
  <c r="I203" i="6" s="1"/>
  <c r="F152" i="6"/>
  <c r="G152" i="6" s="1"/>
  <c r="I152" i="6" s="1"/>
  <c r="AB152" i="6" s="1"/>
  <c r="F124" i="6"/>
  <c r="G124" i="6" s="1"/>
  <c r="I124" i="6" s="1"/>
  <c r="AB124" i="6" s="1"/>
  <c r="F164" i="6"/>
  <c r="G164" i="6" s="1"/>
  <c r="I164" i="6" s="1"/>
  <c r="AB164" i="6" s="1"/>
  <c r="F200" i="6"/>
  <c r="G200" i="6" s="1"/>
  <c r="H200" i="6" s="1"/>
  <c r="AA200" i="6" s="1"/>
  <c r="F283" i="6"/>
  <c r="G283" i="6" s="1"/>
  <c r="H283" i="6" s="1"/>
  <c r="AA283" i="6" s="1"/>
  <c r="F16" i="6"/>
  <c r="G16" i="6" s="1"/>
  <c r="I16" i="6" s="1"/>
  <c r="AB16" i="6" s="1"/>
  <c r="F30" i="6"/>
  <c r="G30" i="6" s="1"/>
  <c r="H30" i="6" s="1"/>
  <c r="AA30" i="6" s="1"/>
  <c r="F242" i="6"/>
  <c r="G242" i="6" s="1"/>
  <c r="H242" i="6" s="1"/>
  <c r="AA242" i="6" s="1"/>
  <c r="F20" i="6"/>
  <c r="G20" i="6" s="1"/>
  <c r="H20" i="6" s="1"/>
  <c r="AA20" i="6" s="1"/>
  <c r="F35" i="6"/>
  <c r="G35" i="6" s="1"/>
  <c r="I35" i="6" s="1"/>
  <c r="AB35" i="6" s="1"/>
  <c r="F262" i="6"/>
  <c r="G262" i="6" s="1"/>
  <c r="H262" i="6" s="1"/>
  <c r="F21" i="6"/>
  <c r="G21" i="6" s="1"/>
  <c r="I21" i="6" s="1"/>
  <c r="F25" i="6"/>
  <c r="G25" i="6" s="1"/>
  <c r="I25" i="6" s="1"/>
  <c r="AB25" i="6" s="1"/>
  <c r="F332" i="6"/>
  <c r="G332" i="6" s="1"/>
  <c r="H332" i="6" s="1"/>
  <c r="F176" i="6"/>
  <c r="G176" i="6" s="1"/>
  <c r="I176" i="6" s="1"/>
  <c r="AB176" i="6" s="1"/>
  <c r="F258" i="6"/>
  <c r="G258" i="6" s="1"/>
  <c r="H258" i="6" s="1"/>
  <c r="F9" i="6"/>
  <c r="G9" i="6" s="1"/>
  <c r="H9" i="6" s="1"/>
  <c r="F223" i="6"/>
  <c r="G223" i="6" s="1"/>
  <c r="I223" i="6" s="1"/>
  <c r="AB223" i="6" s="1"/>
  <c r="F337" i="6"/>
  <c r="G337" i="6" s="1"/>
  <c r="I337" i="6" s="1"/>
  <c r="F234" i="6"/>
  <c r="G234" i="6" s="1"/>
  <c r="I234" i="6" s="1"/>
  <c r="F161" i="6"/>
  <c r="G161" i="6" s="1"/>
  <c r="H161" i="6" s="1"/>
  <c r="AA161" i="6" s="1"/>
  <c r="F265" i="6"/>
  <c r="G265" i="6" s="1"/>
  <c r="H265" i="6" s="1"/>
  <c r="F339" i="6"/>
  <c r="G339" i="6" s="1"/>
  <c r="H339" i="6" s="1"/>
  <c r="F49" i="6"/>
  <c r="G49" i="6" s="1"/>
  <c r="I49" i="6" s="1"/>
  <c r="F284" i="6"/>
  <c r="G284" i="6" s="1"/>
  <c r="H284" i="6" s="1"/>
  <c r="AA284" i="6" s="1"/>
  <c r="F293" i="6"/>
  <c r="G293" i="6" s="1"/>
  <c r="H293" i="6" s="1"/>
  <c r="F95" i="6"/>
  <c r="G95" i="6" s="1"/>
  <c r="I95" i="6" s="1"/>
  <c r="F286" i="6"/>
  <c r="G286" i="6" s="1"/>
  <c r="H286" i="6" s="1"/>
  <c r="AA286" i="6" s="1"/>
  <c r="F294" i="6"/>
  <c r="G294" i="6" s="1"/>
  <c r="H294" i="6" s="1"/>
  <c r="F348" i="6"/>
  <c r="G348" i="6" s="1"/>
  <c r="H348" i="6" s="1"/>
  <c r="AA348" i="6" s="1"/>
  <c r="F276" i="6"/>
  <c r="G276" i="6" s="1"/>
  <c r="H276" i="6" s="1"/>
  <c r="AA276" i="6" s="1"/>
  <c r="F77" i="6"/>
  <c r="G77" i="6" s="1"/>
  <c r="H77" i="6" s="1"/>
  <c r="F338" i="6"/>
  <c r="G338" i="6" s="1"/>
  <c r="H338" i="6" s="1"/>
  <c r="F322" i="6"/>
  <c r="G322" i="6" s="1"/>
  <c r="I322" i="6" s="1"/>
  <c r="F42" i="6"/>
  <c r="G42" i="6" s="1"/>
  <c r="I42" i="6" s="1"/>
  <c r="AB42" i="6" s="1"/>
  <c r="F279" i="6"/>
  <c r="G279" i="6" s="1"/>
  <c r="I279" i="6" s="1"/>
  <c r="AB279" i="6" s="1"/>
  <c r="F173" i="6"/>
  <c r="G173" i="6" s="1"/>
  <c r="I173" i="6" s="1"/>
  <c r="AB173" i="6" s="1"/>
  <c r="F251" i="6"/>
  <c r="G251" i="6" s="1"/>
  <c r="I251" i="6" s="1"/>
  <c r="AB251" i="6" s="1"/>
  <c r="F166" i="6"/>
  <c r="G166" i="6" s="1"/>
  <c r="H166" i="6" s="1"/>
  <c r="F141" i="6"/>
  <c r="G141" i="6" s="1"/>
  <c r="H141" i="6" s="1"/>
  <c r="F353" i="6"/>
  <c r="G353" i="6" s="1"/>
  <c r="H353" i="6" s="1"/>
  <c r="AA353" i="6" s="1"/>
  <c r="F64" i="6"/>
  <c r="G64" i="6" s="1"/>
  <c r="H64" i="6" s="1"/>
  <c r="F68" i="6"/>
  <c r="G68" i="6" s="1"/>
  <c r="I68" i="6" s="1"/>
  <c r="AB68" i="6" s="1"/>
  <c r="F363" i="6"/>
  <c r="G363" i="6" s="1"/>
  <c r="H363" i="6" s="1"/>
  <c r="AA363" i="6" s="1"/>
  <c r="F18" i="6"/>
  <c r="G18" i="6" s="1"/>
  <c r="I18" i="6" s="1"/>
  <c r="AB18" i="6" s="1"/>
  <c r="F170" i="6"/>
  <c r="G170" i="6" s="1"/>
  <c r="H170" i="6" s="1"/>
  <c r="F264" i="6"/>
  <c r="G264" i="6" s="1"/>
  <c r="I264" i="6" s="1"/>
  <c r="AB264" i="6" s="1"/>
  <c r="F320" i="6"/>
  <c r="G320" i="6" s="1"/>
  <c r="H320" i="6" s="1"/>
  <c r="F86" i="6"/>
  <c r="G86" i="6" s="1"/>
  <c r="H86" i="6" s="1"/>
  <c r="AA86" i="6" s="1"/>
  <c r="F26" i="6"/>
  <c r="G26" i="6" s="1"/>
  <c r="H26" i="6" s="1"/>
  <c r="AA26" i="6" s="1"/>
  <c r="F128" i="6"/>
  <c r="G128" i="6" s="1"/>
  <c r="H128" i="6" s="1"/>
  <c r="AA128" i="6" s="1"/>
  <c r="F100" i="6"/>
  <c r="G100" i="6" s="1"/>
  <c r="H100" i="6" s="1"/>
  <c r="AA100" i="6" s="1"/>
  <c r="F181" i="6"/>
  <c r="G181" i="6" s="1"/>
  <c r="H181" i="6" s="1"/>
  <c r="F185" i="6"/>
  <c r="G185" i="6" s="1"/>
  <c r="H185" i="6" s="1"/>
  <c r="AA185" i="6" s="1"/>
  <c r="F94" i="6"/>
  <c r="G94" i="6" s="1"/>
  <c r="H94" i="6" s="1"/>
  <c r="F361" i="6"/>
  <c r="G361" i="6" s="1"/>
  <c r="H361" i="6" s="1"/>
  <c r="F116" i="6"/>
  <c r="G116" i="6" s="1"/>
  <c r="I116" i="6" s="1"/>
  <c r="AB116" i="6" s="1"/>
  <c r="F138" i="6"/>
  <c r="G138" i="6" s="1"/>
  <c r="H138" i="6" s="1"/>
  <c r="F372" i="6"/>
  <c r="G372" i="6" s="1"/>
  <c r="I372" i="6" s="1"/>
  <c r="AB372" i="6" s="1"/>
  <c r="F69" i="6"/>
  <c r="G69" i="6" s="1"/>
  <c r="H69" i="6" s="1"/>
  <c r="F13" i="6"/>
  <c r="G13" i="6" s="1"/>
  <c r="I13" i="6" s="1"/>
  <c r="F78" i="6"/>
  <c r="G78" i="6" s="1"/>
  <c r="H78" i="6" s="1"/>
  <c r="AA78" i="6" s="1"/>
  <c r="F59" i="6"/>
  <c r="G59" i="6" s="1"/>
  <c r="I59" i="6" s="1"/>
  <c r="AB59" i="6" s="1"/>
  <c r="F155" i="6"/>
  <c r="G155" i="6" s="1"/>
  <c r="H155" i="6" s="1"/>
  <c r="AA155" i="6" s="1"/>
  <c r="F23" i="6"/>
  <c r="G23" i="6" s="1"/>
  <c r="I23" i="6" s="1"/>
  <c r="AB23" i="6" s="1"/>
  <c r="F331" i="6"/>
  <c r="G331" i="6" s="1"/>
  <c r="H331" i="6" s="1"/>
  <c r="AA331" i="6" s="1"/>
  <c r="F144" i="6"/>
  <c r="G144" i="6" s="1"/>
  <c r="I144" i="6" s="1"/>
  <c r="AB144" i="6" s="1"/>
  <c r="F72" i="6"/>
  <c r="G72" i="6" s="1"/>
  <c r="H72" i="6" s="1"/>
  <c r="AA72" i="6" s="1"/>
  <c r="F318" i="6"/>
  <c r="G318" i="6" s="1"/>
  <c r="H318" i="6" s="1"/>
  <c r="F5" i="6"/>
  <c r="G5" i="6" s="1"/>
  <c r="H5" i="6" s="1"/>
  <c r="AA5" i="6" s="1"/>
  <c r="F221" i="6"/>
  <c r="G221" i="6" s="1"/>
  <c r="H221" i="6" s="1"/>
  <c r="AA221" i="6" s="1"/>
  <c r="F199" i="6"/>
  <c r="G199" i="6" s="1"/>
  <c r="I199" i="6" s="1"/>
  <c r="F266" i="6"/>
  <c r="G266" i="6" s="1"/>
  <c r="I266" i="6" s="1"/>
  <c r="AB266" i="6" s="1"/>
  <c r="F99" i="6"/>
  <c r="G99" i="6" s="1"/>
  <c r="I99" i="6" s="1"/>
  <c r="F316" i="6"/>
  <c r="G316" i="6" s="1"/>
  <c r="I316" i="6" s="1"/>
  <c r="AB316" i="6" s="1"/>
  <c r="F321" i="6"/>
  <c r="G321" i="6" s="1"/>
  <c r="I321" i="6" s="1"/>
  <c r="AB321" i="6" s="1"/>
  <c r="F287" i="6"/>
  <c r="G287" i="6" s="1"/>
  <c r="I287" i="6" s="1"/>
  <c r="F177" i="6"/>
  <c r="G177" i="6" s="1"/>
  <c r="I177" i="6" s="1"/>
  <c r="F241" i="6"/>
  <c r="G241" i="6" s="1"/>
  <c r="I241" i="6" s="1"/>
  <c r="AB241" i="6" s="1"/>
  <c r="F263" i="6"/>
  <c r="G263" i="6" s="1"/>
  <c r="I263" i="6" s="1"/>
  <c r="F73" i="6"/>
  <c r="G73" i="6" s="1"/>
  <c r="H73" i="6" s="1"/>
  <c r="AA73" i="6" s="1"/>
  <c r="F27" i="6"/>
  <c r="G27" i="6" s="1"/>
  <c r="H27" i="6" s="1"/>
  <c r="F208" i="6"/>
  <c r="G208" i="6" s="1"/>
  <c r="I208" i="6" s="1"/>
  <c r="F4" i="6"/>
  <c r="G4" i="6" s="1"/>
  <c r="I4" i="6" s="1"/>
  <c r="AB4" i="6" s="1"/>
  <c r="F285" i="6"/>
  <c r="G285" i="6" s="1"/>
  <c r="I285" i="6" s="1"/>
  <c r="AB285" i="6" s="1"/>
  <c r="F118" i="6"/>
  <c r="G118" i="6" s="1"/>
  <c r="I118" i="6" s="1"/>
  <c r="AB118" i="6" s="1"/>
  <c r="F175" i="6"/>
  <c r="G175" i="6" s="1"/>
  <c r="H175" i="6" s="1"/>
  <c r="AA175" i="6" s="1"/>
  <c r="F373" i="6"/>
  <c r="G373" i="6" s="1"/>
  <c r="H373" i="6" s="1"/>
  <c r="AA373" i="6" s="1"/>
  <c r="F123" i="6"/>
  <c r="G123" i="6" s="1"/>
  <c r="H123" i="6" s="1"/>
  <c r="F87" i="6"/>
  <c r="G87" i="6" s="1"/>
  <c r="I87" i="6" s="1"/>
  <c r="F352" i="6"/>
  <c r="G352" i="6" s="1"/>
  <c r="I352" i="6" s="1"/>
  <c r="AB352" i="6" s="1"/>
  <c r="F88" i="6"/>
  <c r="G88" i="6" s="1"/>
  <c r="H88" i="6" s="1"/>
  <c r="F253" i="6"/>
  <c r="G253" i="6" s="1"/>
  <c r="H253" i="6" s="1"/>
  <c r="AA253" i="6" s="1"/>
  <c r="F381" i="6"/>
  <c r="G381" i="6" s="1"/>
  <c r="I381" i="6" s="1"/>
  <c r="AB381" i="6" s="1"/>
  <c r="F46" i="6"/>
  <c r="G46" i="6" s="1"/>
  <c r="H46" i="6" s="1"/>
  <c r="F233" i="6"/>
  <c r="G233" i="6" s="1"/>
  <c r="H233" i="6" s="1"/>
  <c r="F358" i="6"/>
  <c r="G358" i="6" s="1"/>
  <c r="H358" i="6" s="1"/>
  <c r="F83" i="6"/>
  <c r="G83" i="6" s="1"/>
  <c r="I83" i="6" s="1"/>
  <c r="AB83" i="6" s="1"/>
  <c r="F22" i="6"/>
  <c r="G22" i="6" s="1"/>
  <c r="H22" i="6" s="1"/>
  <c r="AA22" i="6" s="1"/>
  <c r="F104" i="6"/>
  <c r="G104" i="6" s="1"/>
  <c r="H104" i="6" s="1"/>
  <c r="F204" i="6"/>
  <c r="G204" i="6" s="1"/>
  <c r="H204" i="6" s="1"/>
  <c r="AA204" i="6" s="1"/>
  <c r="F202" i="6"/>
  <c r="G202" i="6" s="1"/>
  <c r="I202" i="6" s="1"/>
  <c r="AB202" i="6" s="1"/>
  <c r="F151" i="6"/>
  <c r="G151" i="6" s="1"/>
  <c r="I151" i="6" s="1"/>
  <c r="AB151" i="6" s="1"/>
  <c r="F270" i="6"/>
  <c r="G270" i="6" s="1"/>
  <c r="H270" i="6" s="1"/>
  <c r="AA270" i="6" s="1"/>
  <c r="F142" i="6"/>
  <c r="G142" i="6" s="1"/>
  <c r="I142" i="6" s="1"/>
  <c r="AB142" i="6" s="1"/>
  <c r="F106" i="6"/>
  <c r="G106" i="6" s="1"/>
  <c r="I106" i="6" s="1"/>
  <c r="F351" i="6"/>
  <c r="G351" i="6" s="1"/>
  <c r="H351" i="6" s="1"/>
  <c r="F34" i="6"/>
  <c r="G34" i="6" s="1"/>
  <c r="H34" i="6" s="1"/>
  <c r="F127" i="6"/>
  <c r="G127" i="6" s="1"/>
  <c r="H127" i="6" s="1"/>
  <c r="AA127" i="6" s="1"/>
  <c r="F290" i="6"/>
  <c r="G290" i="6" s="1"/>
  <c r="H290" i="6" s="1"/>
  <c r="AA290" i="6" s="1"/>
  <c r="F101" i="6"/>
  <c r="G101" i="6" s="1"/>
  <c r="I101" i="6" s="1"/>
  <c r="AB101" i="6" s="1"/>
  <c r="F96" i="6"/>
  <c r="G96" i="6" s="1"/>
  <c r="H96" i="6" s="1"/>
  <c r="F117" i="6"/>
  <c r="G117" i="6" s="1"/>
  <c r="H117" i="6" s="1"/>
  <c r="F57" i="6"/>
  <c r="G57" i="6" s="1"/>
  <c r="I57" i="6" s="1"/>
  <c r="AB57" i="6" s="1"/>
  <c r="F216" i="6"/>
  <c r="G216" i="6" s="1"/>
  <c r="I216" i="6" s="1"/>
  <c r="F314" i="6"/>
  <c r="G314" i="6" s="1"/>
  <c r="H314" i="6" s="1"/>
  <c r="F7" i="6"/>
  <c r="G7" i="6" s="1"/>
  <c r="I7" i="6" s="1"/>
  <c r="F6" i="6"/>
  <c r="G6" i="6" s="1"/>
  <c r="I6" i="6" s="1"/>
  <c r="F24" i="6"/>
  <c r="G24" i="6" s="1"/>
  <c r="I24" i="6" s="1"/>
  <c r="F134" i="6"/>
  <c r="G134" i="6" s="1"/>
  <c r="H134" i="6" s="1"/>
  <c r="F14" i="6"/>
  <c r="G14" i="6" s="1"/>
  <c r="H14" i="6" s="1"/>
  <c r="AA14" i="6" s="1"/>
  <c r="F120" i="6"/>
  <c r="G120" i="6" s="1"/>
  <c r="I120" i="6" s="1"/>
  <c r="AB120" i="6" s="1"/>
  <c r="F125" i="6"/>
  <c r="G125" i="6" s="1"/>
  <c r="H125" i="6" s="1"/>
  <c r="F75" i="6"/>
  <c r="G75" i="6" s="1"/>
  <c r="H75" i="6" s="1"/>
  <c r="AA75" i="6" s="1"/>
  <c r="F252" i="6"/>
  <c r="G252" i="6" s="1"/>
  <c r="H252" i="6" s="1"/>
  <c r="F257" i="6"/>
  <c r="G257" i="6" s="1"/>
  <c r="I257" i="6" s="1"/>
  <c r="F119" i="6"/>
  <c r="G119" i="6" s="1"/>
  <c r="I119" i="6" s="1"/>
  <c r="F146" i="6"/>
  <c r="G146" i="6" s="1"/>
  <c r="H146" i="6" s="1"/>
  <c r="F269" i="6"/>
  <c r="G269" i="6" s="1"/>
  <c r="H269" i="6" s="1"/>
  <c r="AA269" i="6" s="1"/>
  <c r="F211" i="6"/>
  <c r="G211" i="6" s="1"/>
  <c r="I211" i="6" s="1"/>
  <c r="AB211" i="6" s="1"/>
  <c r="F238" i="6"/>
  <c r="G238" i="6" s="1"/>
  <c r="I238" i="6" s="1"/>
  <c r="AB238" i="6" s="1"/>
  <c r="F240" i="6"/>
  <c r="G240" i="6" s="1"/>
  <c r="H240" i="6" s="1"/>
  <c r="AA240" i="6" s="1"/>
  <c r="F162" i="6"/>
  <c r="G162" i="6" s="1"/>
  <c r="I162" i="6" s="1"/>
  <c r="F310" i="6"/>
  <c r="G310" i="6" s="1"/>
  <c r="I310" i="6" s="1"/>
  <c r="AB310" i="6" s="1"/>
  <c r="F275" i="6"/>
  <c r="G275" i="6" s="1"/>
  <c r="H275" i="6" s="1"/>
  <c r="F250" i="6"/>
  <c r="G250" i="6" s="1"/>
  <c r="I250" i="6" s="1"/>
  <c r="F171" i="6"/>
  <c r="G171" i="6" s="1"/>
  <c r="I171" i="6" s="1"/>
  <c r="F367" i="6"/>
  <c r="G367" i="6" s="1"/>
  <c r="H367" i="6" s="1"/>
  <c r="F365" i="6"/>
  <c r="G365" i="6" s="1"/>
  <c r="I365" i="6" s="1"/>
  <c r="AB365" i="6" s="1"/>
  <c r="F60" i="6"/>
  <c r="G60" i="6" s="1"/>
  <c r="I60" i="6" s="1"/>
  <c r="AB60" i="6" s="1"/>
  <c r="F167" i="6"/>
  <c r="G167" i="6" s="1"/>
  <c r="I167" i="6" s="1"/>
  <c r="F160" i="6"/>
  <c r="G160" i="6" s="1"/>
  <c r="H160" i="6" s="1"/>
  <c r="F131" i="6"/>
  <c r="G131" i="6" s="1"/>
  <c r="H131" i="6" s="1"/>
  <c r="F48" i="6"/>
  <c r="G48" i="6" s="1"/>
  <c r="I48" i="6" s="1"/>
  <c r="AB48" i="6" s="1"/>
  <c r="F53" i="6"/>
  <c r="G53" i="6" s="1"/>
  <c r="H53" i="6" s="1"/>
  <c r="F92" i="6"/>
  <c r="G92" i="6" s="1"/>
  <c r="I92" i="6" s="1"/>
  <c r="AB92" i="6" s="1"/>
  <c r="F330" i="6"/>
  <c r="G330" i="6" s="1"/>
  <c r="H330" i="6" s="1"/>
  <c r="F357" i="6"/>
  <c r="G357" i="6" s="1"/>
  <c r="I357" i="6" s="1"/>
  <c r="AB357" i="6" s="1"/>
  <c r="F280" i="6"/>
  <c r="G280" i="6" s="1"/>
  <c r="H280" i="6" s="1"/>
  <c r="AA280" i="6" s="1"/>
  <c r="F29" i="6"/>
  <c r="G29" i="6" s="1"/>
  <c r="H29" i="6" s="1"/>
  <c r="F74" i="6"/>
  <c r="G74" i="6" s="1"/>
  <c r="I74" i="6" s="1"/>
  <c r="F256" i="6"/>
  <c r="G256" i="6" s="1"/>
  <c r="H256" i="6" s="1"/>
  <c r="AA256" i="6" s="1"/>
  <c r="F291" i="6"/>
  <c r="G291" i="6" s="1"/>
  <c r="H291" i="6" s="1"/>
  <c r="AA291" i="6" s="1"/>
  <c r="F342" i="6"/>
  <c r="G342" i="6" s="1"/>
  <c r="H342" i="6" s="1"/>
  <c r="F40" i="6"/>
  <c r="G40" i="6" s="1"/>
  <c r="H40" i="6" s="1"/>
  <c r="AA40" i="6" s="1"/>
  <c r="F149" i="6"/>
  <c r="G149" i="6" s="1"/>
  <c r="H149" i="6" s="1"/>
  <c r="AA149" i="6" s="1"/>
  <c r="F235" i="6"/>
  <c r="G235" i="6" s="1"/>
  <c r="H235" i="6" s="1"/>
  <c r="AA235" i="6" s="1"/>
  <c r="F201" i="6"/>
  <c r="G201" i="6" s="1"/>
  <c r="H201" i="6" s="1"/>
  <c r="AA201" i="6" s="1"/>
  <c r="F288" i="6"/>
  <c r="G288" i="6" s="1"/>
  <c r="I288" i="6" s="1"/>
  <c r="F136" i="6"/>
  <c r="G136" i="6" s="1"/>
  <c r="H136" i="6" s="1"/>
  <c r="F55" i="6"/>
  <c r="G55" i="6" s="1"/>
  <c r="H55" i="6" s="1"/>
  <c r="F315" i="6"/>
  <c r="G315" i="6" s="1"/>
  <c r="H315" i="6" s="1"/>
  <c r="F236" i="6"/>
  <c r="G236" i="6" s="1"/>
  <c r="H236" i="6" s="1"/>
  <c r="F50" i="6"/>
  <c r="G50" i="6" s="1"/>
  <c r="H50" i="6" s="1"/>
  <c r="AA50" i="6" s="1"/>
  <c r="F184" i="6"/>
  <c r="G184" i="6" s="1"/>
  <c r="I184" i="6" s="1"/>
  <c r="AB184" i="6" s="1"/>
  <c r="F79" i="6"/>
  <c r="G79" i="6" s="1"/>
  <c r="I79" i="6" s="1"/>
  <c r="AB79" i="6" s="1"/>
  <c r="F271" i="6"/>
  <c r="G271" i="6" s="1"/>
  <c r="I271" i="6" s="1"/>
  <c r="AB271" i="6" s="1"/>
  <c r="F336" i="6"/>
  <c r="G336" i="6" s="1"/>
  <c r="H336" i="6" s="1"/>
  <c r="AA336" i="6" s="1"/>
  <c r="F334" i="6"/>
  <c r="G334" i="6" s="1"/>
  <c r="H334" i="6" s="1"/>
  <c r="F43" i="6"/>
  <c r="G43" i="6" s="1"/>
  <c r="I43" i="6" s="1"/>
  <c r="F218" i="6"/>
  <c r="G218" i="6" s="1"/>
  <c r="H218" i="6" s="1"/>
  <c r="F304" i="6"/>
  <c r="G304" i="6" s="1"/>
  <c r="H304" i="6" s="1"/>
  <c r="AA304" i="6" s="1"/>
  <c r="F333" i="6"/>
  <c r="G333" i="6" s="1"/>
  <c r="H333" i="6" s="1"/>
  <c r="AA333" i="6" s="1"/>
  <c r="F244" i="6"/>
  <c r="G244" i="6" s="1"/>
  <c r="I244" i="6" s="1"/>
  <c r="AB244" i="6" s="1"/>
  <c r="F248" i="6"/>
  <c r="G248" i="6" s="1"/>
  <c r="H248" i="6" s="1"/>
  <c r="F129" i="6"/>
  <c r="G129" i="6" s="1"/>
  <c r="I129" i="6" s="1"/>
  <c r="F195" i="6"/>
  <c r="G195" i="6" s="1"/>
  <c r="H195" i="6" s="1"/>
  <c r="AA195" i="6" s="1"/>
  <c r="F85" i="6"/>
  <c r="G85" i="6" s="1"/>
  <c r="H85" i="6" s="1"/>
  <c r="AA85" i="6" s="1"/>
  <c r="F206" i="6"/>
  <c r="G206" i="6" s="1"/>
  <c r="H206" i="6" s="1"/>
  <c r="F359" i="6"/>
  <c r="G359" i="6" s="1"/>
  <c r="H359" i="6" s="1"/>
  <c r="F174" i="6"/>
  <c r="G174" i="6" s="1"/>
  <c r="H174" i="6" s="1"/>
  <c r="AA174" i="6" s="1"/>
  <c r="F190" i="6"/>
  <c r="G190" i="6" s="1"/>
  <c r="H190" i="6" s="1"/>
  <c r="F226" i="6"/>
  <c r="G226" i="6" s="1"/>
  <c r="I226" i="6" s="1"/>
  <c r="F188" i="6"/>
  <c r="G188" i="6" s="1"/>
  <c r="H188" i="6" s="1"/>
  <c r="F145" i="6"/>
  <c r="G145" i="6" s="1"/>
  <c r="H145" i="6" s="1"/>
  <c r="F222" i="6"/>
  <c r="G222" i="6" s="1"/>
  <c r="H222" i="6" s="1"/>
  <c r="AA222" i="6" s="1"/>
  <c r="F189" i="6"/>
  <c r="G189" i="6" s="1"/>
  <c r="H189" i="6" s="1"/>
  <c r="F214" i="6"/>
  <c r="G214" i="6" s="1"/>
  <c r="H214" i="6" s="1"/>
  <c r="F313" i="6"/>
  <c r="G313" i="6" s="1"/>
  <c r="H313" i="6" s="1"/>
  <c r="AA313" i="6" s="1"/>
  <c r="F259" i="6"/>
  <c r="G259" i="6" s="1"/>
  <c r="H259" i="6" s="1"/>
  <c r="AA259" i="6" s="1"/>
  <c r="F254" i="6"/>
  <c r="G254" i="6" s="1"/>
  <c r="I254" i="6" s="1"/>
  <c r="AB254" i="6" s="1"/>
  <c r="F178" i="6"/>
  <c r="G178" i="6" s="1"/>
  <c r="H178" i="6" s="1"/>
  <c r="AA178" i="6" s="1"/>
  <c r="F84" i="6"/>
  <c r="G84" i="6" s="1"/>
  <c r="H84" i="6" s="1"/>
  <c r="F350" i="6"/>
  <c r="G350" i="6" s="1"/>
  <c r="I350" i="6" s="1"/>
  <c r="F212" i="6"/>
  <c r="G212" i="6" s="1"/>
  <c r="I212" i="6" s="1"/>
  <c r="F319" i="6"/>
  <c r="G319" i="6" s="1"/>
  <c r="I319" i="6" s="1"/>
  <c r="F355" i="6"/>
  <c r="G355" i="6" s="1"/>
  <c r="I355" i="6" s="1"/>
  <c r="AB355" i="6" s="1"/>
  <c r="F36" i="6"/>
  <c r="G36" i="6" s="1"/>
  <c r="H36" i="6" s="1"/>
  <c r="AA36" i="6" s="1"/>
  <c r="F303" i="6"/>
  <c r="G303" i="6" s="1"/>
  <c r="H303" i="6" s="1"/>
  <c r="AA303" i="6" s="1"/>
  <c r="F239" i="6"/>
  <c r="G239" i="6" s="1"/>
  <c r="I239" i="6" s="1"/>
  <c r="AB239" i="6" s="1"/>
  <c r="F80" i="6"/>
  <c r="G80" i="6" s="1"/>
  <c r="I80" i="6" s="1"/>
  <c r="AB80" i="6" s="1"/>
  <c r="F65" i="6"/>
  <c r="G65" i="6" s="1"/>
  <c r="H65" i="6" s="1"/>
  <c r="F112" i="6"/>
  <c r="G112" i="6" s="1"/>
  <c r="I112" i="6" s="1"/>
  <c r="F37" i="6"/>
  <c r="G37" i="6" s="1"/>
  <c r="I37" i="6" s="1"/>
  <c r="F15" i="6"/>
  <c r="G15" i="6" s="1"/>
  <c r="H15" i="6" s="1"/>
  <c r="AA15" i="6" s="1"/>
  <c r="F281" i="6"/>
  <c r="G281" i="6" s="1"/>
  <c r="H281" i="6" s="1"/>
  <c r="AA281" i="6" s="1"/>
  <c r="F150" i="6"/>
  <c r="G150" i="6" s="1"/>
  <c r="I150" i="6" s="1"/>
  <c r="F156" i="6"/>
  <c r="G156" i="6" s="1"/>
  <c r="I156" i="6" s="1"/>
  <c r="F370" i="6"/>
  <c r="G370" i="6" s="1"/>
  <c r="I370" i="6" s="1"/>
  <c r="AB370" i="6" s="1"/>
  <c r="F220" i="6"/>
  <c r="G220" i="6" s="1"/>
  <c r="I220" i="6" s="1"/>
  <c r="AB220" i="6" s="1"/>
  <c r="F153" i="6"/>
  <c r="G153" i="6" s="1"/>
  <c r="I153" i="6" s="1"/>
  <c r="AB153" i="6" s="1"/>
  <c r="F375" i="6"/>
  <c r="G375" i="6" s="1"/>
  <c r="H375" i="6" s="1"/>
  <c r="F56" i="6"/>
  <c r="G56" i="6" s="1"/>
  <c r="H56" i="6" s="1"/>
  <c r="F89" i="6"/>
  <c r="G89" i="6" s="1"/>
  <c r="I89" i="6" s="1"/>
  <c r="AB89" i="6" s="1"/>
  <c r="F139" i="6"/>
  <c r="G139" i="6" s="1"/>
  <c r="H139" i="6" s="1"/>
  <c r="F302" i="6"/>
  <c r="G302" i="6" s="1"/>
  <c r="H302" i="6" s="1"/>
  <c r="F292" i="6"/>
  <c r="G292" i="6" s="1"/>
  <c r="H292" i="6" s="1"/>
  <c r="AA292" i="6" s="1"/>
  <c r="F340" i="6"/>
  <c r="G340" i="6" s="1"/>
  <c r="I340" i="6" s="1"/>
  <c r="F378" i="6"/>
  <c r="G378" i="6" s="1"/>
  <c r="H378" i="6" s="1"/>
  <c r="F126" i="6"/>
  <c r="G126" i="6" s="1"/>
  <c r="H126" i="6" s="1"/>
  <c r="F324" i="6"/>
  <c r="G324" i="6" s="1"/>
  <c r="H324" i="6" s="1"/>
  <c r="F272" i="6"/>
  <c r="G272" i="6" s="1"/>
  <c r="I272" i="6" s="1"/>
  <c r="AB272" i="6" s="1"/>
  <c r="F66" i="6"/>
  <c r="G66" i="6" s="1"/>
  <c r="I66" i="6" s="1"/>
  <c r="AB66" i="6" s="1"/>
  <c r="F267" i="6"/>
  <c r="G267" i="6" s="1"/>
  <c r="H267" i="6" s="1"/>
  <c r="AA267" i="6" s="1"/>
  <c r="F147" i="6"/>
  <c r="G147" i="6" s="1"/>
  <c r="H147" i="6" s="1"/>
  <c r="F58" i="6"/>
  <c r="G58" i="6" s="1"/>
  <c r="H58" i="6" s="1"/>
  <c r="AA58" i="6" s="1"/>
  <c r="F268" i="6"/>
  <c r="G268" i="6" s="1"/>
  <c r="H268" i="6" s="1"/>
  <c r="F295" i="6"/>
  <c r="G295" i="6" s="1"/>
  <c r="I295" i="6" s="1"/>
  <c r="F278" i="6"/>
  <c r="G278" i="6" s="1"/>
  <c r="I278" i="6" s="1"/>
  <c r="AB278" i="6" s="1"/>
  <c r="F172" i="6"/>
  <c r="G172" i="6" s="1"/>
  <c r="H172" i="6" s="1"/>
  <c r="AA172" i="6" s="1"/>
  <c r="F298" i="6"/>
  <c r="G298" i="6" s="1"/>
  <c r="I298" i="6" s="1"/>
  <c r="F169" i="6"/>
  <c r="G169" i="6" s="1"/>
  <c r="H169" i="6" s="1"/>
  <c r="F306" i="6"/>
  <c r="G306" i="6" s="1"/>
  <c r="I306" i="6" s="1"/>
  <c r="F62" i="6"/>
  <c r="G62" i="6" s="1"/>
  <c r="H62" i="6" s="1"/>
  <c r="AA62" i="6" s="1"/>
  <c r="F2" i="6"/>
  <c r="G2" i="6" s="1"/>
  <c r="I2" i="6" s="1"/>
  <c r="AB2" i="6" s="1"/>
  <c r="F97" i="6"/>
  <c r="G97" i="6" s="1"/>
  <c r="I97" i="6" s="1"/>
  <c r="AB97" i="6" s="1"/>
  <c r="F219" i="6"/>
  <c r="G219" i="6" s="1"/>
  <c r="I219" i="6" s="1"/>
  <c r="AB219" i="6" s="1"/>
  <c r="F209" i="6"/>
  <c r="G209" i="6" s="1"/>
  <c r="H209" i="6" s="1"/>
  <c r="F81" i="6"/>
  <c r="G81" i="6" s="1"/>
  <c r="H81" i="6" s="1"/>
  <c r="F10" i="6"/>
  <c r="G10" i="6" s="1"/>
  <c r="I10" i="6" s="1"/>
  <c r="F12" i="6"/>
  <c r="G12" i="6" s="1"/>
  <c r="H12" i="6" s="1"/>
  <c r="AA12" i="6" s="1"/>
  <c r="F196" i="6"/>
  <c r="G196" i="6" s="1"/>
  <c r="I196" i="6" s="1"/>
  <c r="F108" i="6"/>
  <c r="G108" i="6" s="1"/>
  <c r="I108" i="6" s="1"/>
  <c r="AB108" i="6" s="1"/>
  <c r="F110" i="6"/>
  <c r="G110" i="6" s="1"/>
  <c r="I110" i="6" s="1"/>
  <c r="F345" i="6"/>
  <c r="G345" i="6" s="1"/>
  <c r="I345" i="6" s="1"/>
  <c r="AB345" i="6" s="1"/>
  <c r="F312" i="6"/>
  <c r="G312" i="6" s="1"/>
  <c r="I312" i="6" s="1"/>
  <c r="AB312" i="6" s="1"/>
  <c r="F371" i="6"/>
  <c r="G371" i="6" s="1"/>
  <c r="I371" i="6" s="1"/>
  <c r="AB371" i="6" s="1"/>
  <c r="F243" i="6"/>
  <c r="G243" i="6" s="1"/>
  <c r="H243" i="6" s="1"/>
  <c r="AA243" i="6" s="1"/>
  <c r="F52" i="6"/>
  <c r="G52" i="6" s="1"/>
  <c r="H52" i="6" s="1"/>
  <c r="F362" i="6"/>
  <c r="G362" i="6" s="1"/>
  <c r="H362" i="6" s="1"/>
  <c r="F344" i="6"/>
  <c r="G344" i="6" s="1"/>
  <c r="I344" i="6" s="1"/>
  <c r="F327" i="6"/>
  <c r="G327" i="6" s="1"/>
  <c r="H327" i="6" s="1"/>
  <c r="F113" i="6"/>
  <c r="G113" i="6" s="1"/>
  <c r="H113" i="6" s="1"/>
  <c r="F115" i="6"/>
  <c r="G115" i="6" s="1"/>
  <c r="I115" i="6" s="1"/>
  <c r="AB115" i="6" s="1"/>
  <c r="F103" i="6"/>
  <c r="G103" i="6" s="1"/>
  <c r="H103" i="6" s="1"/>
  <c r="AA103" i="6" s="1"/>
  <c r="F197" i="6"/>
  <c r="G197" i="6" s="1"/>
  <c r="H197" i="6" s="1"/>
  <c r="AA197" i="6" s="1"/>
  <c r="F154" i="6"/>
  <c r="G154" i="6" s="1"/>
  <c r="I154" i="6" s="1"/>
  <c r="F114" i="6"/>
  <c r="G114" i="6" s="1"/>
  <c r="H114" i="6" s="1"/>
  <c r="F8" i="6"/>
  <c r="G8" i="6" s="1"/>
  <c r="I8" i="6" s="1"/>
  <c r="AB8" i="6" s="1"/>
  <c r="F380" i="6"/>
  <c r="G380" i="6" s="1"/>
  <c r="H380" i="6" s="1"/>
  <c r="F299" i="6"/>
  <c r="G299" i="6" s="1"/>
  <c r="I299" i="6" s="1"/>
  <c r="AB299" i="6" s="1"/>
  <c r="F307" i="6"/>
  <c r="G307" i="6" s="1"/>
  <c r="H307" i="6" s="1"/>
  <c r="F82" i="6"/>
  <c r="G82" i="6" s="1"/>
  <c r="I82" i="6" s="1"/>
  <c r="F19" i="6"/>
  <c r="G19" i="6" s="1"/>
  <c r="H19" i="6" s="1"/>
  <c r="F121" i="6"/>
  <c r="G121" i="6" s="1"/>
  <c r="I121" i="6" s="1"/>
  <c r="F63" i="6"/>
  <c r="G63" i="6" s="1"/>
  <c r="H63" i="6" s="1"/>
  <c r="AA63" i="6" s="1"/>
  <c r="F191" i="6"/>
  <c r="G191" i="6" s="1"/>
  <c r="I191" i="6" s="1"/>
  <c r="F231" i="6"/>
  <c r="G231" i="6" s="1"/>
  <c r="H231" i="6" s="1"/>
  <c r="AA231" i="6" s="1"/>
  <c r="F182" i="6"/>
  <c r="G182" i="6" s="1"/>
  <c r="H182" i="6" s="1"/>
  <c r="F11" i="6"/>
  <c r="G11" i="6" s="1"/>
  <c r="H11" i="6" s="1"/>
  <c r="AA11" i="6" s="1"/>
  <c r="F364" i="6"/>
  <c r="G364" i="6" s="1"/>
  <c r="H364" i="6" s="1"/>
  <c r="AA364" i="6" s="1"/>
  <c r="F61" i="6"/>
  <c r="G61" i="6" s="1"/>
  <c r="H61" i="6" s="1"/>
  <c r="F360" i="6"/>
  <c r="G360" i="6" s="1"/>
  <c r="H360" i="6" s="1"/>
  <c r="AA360" i="6" s="1"/>
  <c r="F228" i="6"/>
  <c r="G228" i="6" s="1"/>
  <c r="I228" i="6" s="1"/>
  <c r="AB228" i="6" s="1"/>
  <c r="F51" i="6"/>
  <c r="G51" i="6" s="1"/>
  <c r="I51" i="6" s="1"/>
  <c r="F158" i="6"/>
  <c r="G158" i="6" s="1"/>
  <c r="H158" i="6" s="1"/>
  <c r="AA158" i="6" s="1"/>
  <c r="F356" i="6"/>
  <c r="G356" i="6" s="1"/>
  <c r="H356" i="6" s="1"/>
  <c r="AA356" i="6" s="1"/>
  <c r="F349" i="6"/>
  <c r="G349" i="6" s="1"/>
  <c r="H349" i="6" s="1"/>
  <c r="F225" i="6"/>
  <c r="G225" i="6" s="1"/>
  <c r="H225" i="6" s="1"/>
  <c r="AA225" i="6" s="1"/>
  <c r="F163" i="6"/>
  <c r="G163" i="6" s="1"/>
  <c r="I163" i="6" s="1"/>
  <c r="F148" i="6"/>
  <c r="G148" i="6" s="1"/>
  <c r="H148" i="6" s="1"/>
  <c r="F305" i="6"/>
  <c r="G305" i="6" s="1"/>
  <c r="H305" i="6" s="1"/>
  <c r="F105" i="6"/>
  <c r="G105" i="6" s="1"/>
  <c r="I105" i="6" s="1"/>
  <c r="AB105" i="6" s="1"/>
  <c r="F205" i="6"/>
  <c r="G205" i="6" s="1"/>
  <c r="I205" i="6" s="1"/>
  <c r="F368" i="6"/>
  <c r="G368" i="6" s="1"/>
  <c r="H368" i="6" s="1"/>
  <c r="AA368" i="6" s="1"/>
  <c r="F132" i="6"/>
  <c r="G132" i="6" s="1"/>
  <c r="I132" i="6" s="1"/>
  <c r="AB132" i="6" s="1"/>
  <c r="F102" i="6"/>
  <c r="G102" i="6" s="1"/>
  <c r="H102" i="6" s="1"/>
  <c r="AA102" i="6" s="1"/>
  <c r="F32" i="6"/>
  <c r="G32" i="6" s="1"/>
  <c r="I32" i="6" s="1"/>
  <c r="F98" i="6"/>
  <c r="G98" i="6" s="1"/>
  <c r="I98" i="6" s="1"/>
  <c r="AB98" i="6" s="1"/>
  <c r="F224" i="6"/>
  <c r="G224" i="6" s="1"/>
  <c r="I224" i="6" s="1"/>
  <c r="F194" i="6"/>
  <c r="G194" i="6" s="1"/>
  <c r="H194" i="6" s="1"/>
  <c r="AA194" i="6" s="1"/>
  <c r="F213" i="6"/>
  <c r="G213" i="6" s="1"/>
  <c r="H213" i="6" s="1"/>
  <c r="AA213" i="6" s="1"/>
  <c r="F93" i="6"/>
  <c r="G93" i="6" s="1"/>
  <c r="H93" i="6" s="1"/>
  <c r="F354" i="6"/>
  <c r="G354" i="6" s="1"/>
  <c r="H354" i="6" s="1"/>
  <c r="AA354" i="6" s="1"/>
  <c r="F71" i="6"/>
  <c r="G71" i="6" s="1"/>
  <c r="H71" i="6" s="1"/>
  <c r="F215" i="6"/>
  <c r="G215" i="6" s="1"/>
  <c r="H215" i="6" s="1"/>
  <c r="F343" i="6"/>
  <c r="G343" i="6" s="1"/>
  <c r="I343" i="6" s="1"/>
  <c r="AB343" i="6" s="1"/>
  <c r="F323" i="6"/>
  <c r="G323" i="6" s="1"/>
  <c r="I323" i="6" s="1"/>
  <c r="AB323" i="6" s="1"/>
  <c r="F44" i="6"/>
  <c r="G44" i="6" s="1"/>
  <c r="H44" i="6" s="1"/>
  <c r="AA44" i="6" s="1"/>
  <c r="F245" i="6"/>
  <c r="G245" i="6" s="1"/>
  <c r="I245" i="6" s="1"/>
  <c r="F179" i="6"/>
  <c r="G179" i="6" s="1"/>
  <c r="H179" i="6" s="1"/>
  <c r="AA179" i="6" s="1"/>
  <c r="F274" i="6"/>
  <c r="G274" i="6" s="1"/>
  <c r="H274" i="6" s="1"/>
  <c r="AA274" i="6" s="1"/>
  <c r="F301" i="6"/>
  <c r="G301" i="6" s="1"/>
  <c r="I301" i="6" s="1"/>
  <c r="AB301" i="6" s="1"/>
  <c r="F193" i="6"/>
  <c r="G193" i="6" s="1"/>
  <c r="I193" i="6" s="1"/>
  <c r="F67" i="6"/>
  <c r="G67" i="6" s="1"/>
  <c r="I67" i="6" s="1"/>
  <c r="F379" i="6"/>
  <c r="G379" i="6" s="1"/>
  <c r="H379" i="6" s="1"/>
  <c r="F130" i="6"/>
  <c r="G130" i="6" s="1"/>
  <c r="I130" i="6" s="1"/>
  <c r="AB130" i="6" s="1"/>
  <c r="F300" i="6"/>
  <c r="G300" i="6" s="1"/>
  <c r="H300" i="6" s="1"/>
  <c r="F273" i="6"/>
  <c r="G273" i="6" s="1"/>
  <c r="H273" i="6" s="1"/>
  <c r="F122" i="6"/>
  <c r="G122" i="6" s="1"/>
  <c r="H122" i="6" s="1"/>
  <c r="AA122" i="6" s="1"/>
  <c r="F33" i="6"/>
  <c r="G33" i="6" s="1"/>
  <c r="I33" i="6" s="1"/>
  <c r="AB33" i="6" s="1"/>
  <c r="F133" i="6"/>
  <c r="G133" i="6" s="1"/>
  <c r="I133" i="6" s="1"/>
  <c r="AB133" i="6" s="1"/>
  <c r="F137" i="6"/>
  <c r="G137" i="6" s="1"/>
  <c r="I137" i="6" s="1"/>
  <c r="AB137" i="6" s="1"/>
  <c r="F328" i="6"/>
  <c r="G328" i="6" s="1"/>
  <c r="I328" i="6" s="1"/>
  <c r="F247" i="6"/>
  <c r="G247" i="6" s="1"/>
  <c r="H247" i="6" s="1"/>
  <c r="F261" i="6"/>
  <c r="G261" i="6" s="1"/>
  <c r="I261" i="6" s="1"/>
  <c r="F111" i="6"/>
  <c r="G111" i="6" s="1"/>
  <c r="H111" i="6" s="1"/>
  <c r="E48" i="4"/>
  <c r="D78" i="1" s="1"/>
  <c r="G85" i="1"/>
  <c r="Q93" i="6"/>
  <c r="Q282" i="6"/>
  <c r="R221" i="6"/>
  <c r="Q381" i="6"/>
  <c r="Q367" i="6"/>
  <c r="R198" i="6"/>
  <c r="D69" i="4"/>
  <c r="F69" i="4" s="1"/>
  <c r="E81" i="1" s="1"/>
  <c r="Q2" i="6"/>
  <c r="Q371" i="6"/>
  <c r="R235" i="6"/>
  <c r="Q25" i="6"/>
  <c r="R171" i="6"/>
  <c r="Q272" i="6"/>
  <c r="Q312" i="6"/>
  <c r="R17" i="6"/>
  <c r="Q372" i="6"/>
  <c r="AB154" i="6"/>
  <c r="Q133" i="6"/>
  <c r="R205" i="6"/>
  <c r="AB192" i="6"/>
  <c r="Q273" i="6"/>
  <c r="R185" i="6"/>
  <c r="R95" i="6"/>
  <c r="Q271" i="6"/>
  <c r="R74" i="6"/>
  <c r="Q77" i="6"/>
  <c r="Q147" i="6"/>
  <c r="R242" i="6"/>
  <c r="R30" i="6"/>
  <c r="R346" i="6"/>
  <c r="R304" i="6"/>
  <c r="R377" i="6"/>
  <c r="Q134" i="6"/>
  <c r="Q265" i="6"/>
  <c r="Q327" i="6"/>
  <c r="R168" i="6"/>
  <c r="Q189" i="6"/>
  <c r="R191" i="6"/>
  <c r="Q166" i="6"/>
  <c r="R174" i="6"/>
  <c r="R7" i="6"/>
  <c r="Q38" i="6"/>
  <c r="Q378" i="6"/>
  <c r="R22" i="6"/>
  <c r="R183" i="6"/>
  <c r="Q182" i="6"/>
  <c r="Q370" i="6"/>
  <c r="R341" i="6"/>
  <c r="Q34" i="6"/>
  <c r="Q220" i="6"/>
  <c r="Q53" i="6"/>
  <c r="Q248" i="6"/>
  <c r="R11" i="6"/>
  <c r="Q84" i="6"/>
  <c r="R356" i="6"/>
  <c r="Q107" i="6"/>
  <c r="Q214" i="6"/>
  <c r="R222" i="6"/>
  <c r="R86" i="6"/>
  <c r="Q94" i="6"/>
  <c r="Q83" i="6"/>
  <c r="R224" i="6"/>
  <c r="Q345" i="6"/>
  <c r="Q330" i="6"/>
  <c r="R110" i="6"/>
  <c r="R193" i="6"/>
  <c r="Q217" i="6"/>
  <c r="R207" i="6"/>
  <c r="R286" i="6"/>
  <c r="Q215" i="6"/>
  <c r="Q299" i="6"/>
  <c r="Q338" i="6"/>
  <c r="AA338" i="6" s="1"/>
  <c r="Q206" i="6"/>
  <c r="Q316" i="6"/>
  <c r="Q308" i="6"/>
  <c r="Q305" i="6"/>
  <c r="R344" i="6"/>
  <c r="R340" i="6"/>
  <c r="Q324" i="6"/>
  <c r="R44" i="6"/>
  <c r="R331" i="6"/>
  <c r="R177" i="6"/>
  <c r="Q115" i="6"/>
  <c r="Q29" i="6"/>
  <c r="R14" i="6"/>
  <c r="Q359" i="6"/>
  <c r="R119" i="6"/>
  <c r="Q349" i="6"/>
  <c r="Q151" i="6"/>
  <c r="R335" i="6"/>
  <c r="R298" i="6"/>
  <c r="R78" i="6"/>
  <c r="R26" i="6"/>
  <c r="Q160" i="6"/>
  <c r="R303" i="6"/>
  <c r="Q355" i="6"/>
  <c r="R348" i="6"/>
  <c r="R253" i="6"/>
  <c r="Q47" i="6"/>
  <c r="Q251" i="6"/>
  <c r="Q277" i="6"/>
  <c r="Q120" i="6"/>
  <c r="Q170" i="6"/>
  <c r="R100" i="6"/>
  <c r="Q374" i="6"/>
  <c r="Q181" i="6"/>
  <c r="R283" i="6"/>
  <c r="Q241" i="6"/>
  <c r="Q237" i="6"/>
  <c r="Q264" i="6"/>
  <c r="R179" i="6"/>
  <c r="R6" i="6"/>
  <c r="Q357" i="6"/>
  <c r="R51" i="6"/>
  <c r="R149" i="6"/>
  <c r="Q342" i="6"/>
  <c r="Q81" i="6"/>
  <c r="R234" i="6"/>
  <c r="R336" i="6"/>
  <c r="Q52" i="6"/>
  <c r="R73" i="6"/>
  <c r="R196" i="6"/>
  <c r="Q376" i="6"/>
  <c r="Q188" i="6"/>
  <c r="Q268" i="6"/>
  <c r="Q332" i="6"/>
  <c r="Q380" i="6"/>
  <c r="Q114" i="6"/>
  <c r="Q71" i="6"/>
  <c r="Q79" i="6"/>
  <c r="Q154" i="6"/>
  <c r="R363" i="6"/>
  <c r="R260" i="6"/>
  <c r="R178" i="6"/>
  <c r="R72" i="6"/>
  <c r="Q369" i="6"/>
  <c r="R12" i="6"/>
  <c r="R333" i="6"/>
  <c r="R122" i="6"/>
  <c r="Q131" i="6"/>
  <c r="Q192" i="6"/>
  <c r="R13" i="6"/>
  <c r="AB13" i="6" s="1"/>
  <c r="Q55" i="6"/>
  <c r="Q111" i="6"/>
  <c r="R43" i="6"/>
  <c r="Q262" i="6"/>
  <c r="Q334" i="6"/>
  <c r="Q117" i="6"/>
  <c r="R58" i="6"/>
  <c r="Q310" i="6"/>
  <c r="Q379" i="6"/>
  <c r="R85" i="6"/>
  <c r="Q48" i="6"/>
  <c r="R245" i="6"/>
  <c r="Q302" i="6"/>
  <c r="R155" i="6"/>
  <c r="Q35" i="6"/>
  <c r="R63" i="6"/>
  <c r="Q300" i="6"/>
  <c r="R167" i="6"/>
  <c r="R295" i="6"/>
  <c r="Q227" i="6"/>
  <c r="R201" i="6"/>
  <c r="Q109" i="6"/>
  <c r="Q139" i="6"/>
  <c r="Q323" i="6"/>
  <c r="R121" i="6"/>
  <c r="R21" i="6"/>
  <c r="Q202" i="6"/>
  <c r="R87" i="6"/>
  <c r="Q229" i="6"/>
  <c r="Q228" i="6"/>
  <c r="Q258" i="6"/>
  <c r="Q41" i="6"/>
  <c r="R102" i="6"/>
  <c r="R28" i="6"/>
  <c r="R256" i="6"/>
  <c r="R127" i="6"/>
  <c r="R353" i="6"/>
  <c r="Q9" i="6"/>
  <c r="R287" i="6"/>
  <c r="Q135" i="6"/>
  <c r="R32" i="6"/>
  <c r="Q159" i="6"/>
  <c r="R194" i="6"/>
  <c r="R197" i="6"/>
  <c r="R40" i="6"/>
  <c r="Q246" i="6"/>
  <c r="Q27" i="6"/>
  <c r="R309" i="6"/>
  <c r="AB309" i="6" s="1"/>
  <c r="R373" i="6"/>
  <c r="Q4" i="6"/>
  <c r="Q113" i="6"/>
  <c r="Q69" i="6"/>
  <c r="R203" i="6"/>
  <c r="R326" i="6"/>
  <c r="R103" i="6"/>
  <c r="R75" i="6"/>
  <c r="Q339" i="6"/>
  <c r="Q321" i="6"/>
  <c r="R82" i="6"/>
  <c r="Q138" i="6"/>
  <c r="Q19" i="6"/>
  <c r="Q365" i="6"/>
  <c r="Q238" i="6"/>
  <c r="Q358" i="6"/>
  <c r="Q45" i="6"/>
  <c r="Q108" i="6"/>
  <c r="R129" i="6"/>
  <c r="Q118" i="6"/>
  <c r="Q190" i="6"/>
  <c r="Q293" i="6"/>
  <c r="Q68" i="6"/>
  <c r="Q320" i="6"/>
  <c r="Q142" i="6"/>
  <c r="R261" i="6"/>
  <c r="Q105" i="6"/>
  <c r="R317" i="6"/>
  <c r="Q60" i="6"/>
  <c r="R306" i="6"/>
  <c r="Q104" i="6"/>
  <c r="Q146" i="6"/>
  <c r="Q96" i="6"/>
  <c r="Q233" i="6"/>
  <c r="R313" i="6"/>
  <c r="Q247" i="6"/>
  <c r="R208" i="6"/>
  <c r="R322" i="6"/>
  <c r="R24" i="6"/>
  <c r="R91" i="6"/>
  <c r="Q97" i="6"/>
  <c r="R337" i="6"/>
  <c r="R10" i="6"/>
  <c r="I283" i="6"/>
  <c r="Q8" i="6"/>
  <c r="Q144" i="6"/>
  <c r="Q315" i="6"/>
  <c r="Q64" i="6"/>
  <c r="R212" i="6"/>
  <c r="Q130" i="6"/>
  <c r="R240" i="6"/>
  <c r="R225" i="6"/>
  <c r="Q141" i="6"/>
  <c r="Q209" i="6"/>
  <c r="R150" i="6"/>
  <c r="R325" i="6"/>
  <c r="Q165" i="6"/>
  <c r="Q126" i="6"/>
  <c r="Q351" i="6"/>
  <c r="R36" i="6"/>
  <c r="Q3" i="6"/>
  <c r="R67" i="6"/>
  <c r="R274" i="6"/>
  <c r="Q88" i="6"/>
  <c r="R112" i="6"/>
  <c r="Q124" i="6"/>
  <c r="Q57" i="6"/>
  <c r="Q279" i="6"/>
  <c r="Q56" i="6"/>
  <c r="Q125" i="6"/>
  <c r="R195" i="6"/>
  <c r="Q153" i="6"/>
  <c r="R263" i="6"/>
  <c r="R180" i="6"/>
  <c r="Q164" i="6"/>
  <c r="R158" i="6"/>
  <c r="R161" i="6"/>
  <c r="Q366" i="6"/>
  <c r="Q70" i="6"/>
  <c r="R257" i="6"/>
  <c r="R106" i="6"/>
  <c r="Q123" i="6"/>
  <c r="R319" i="6"/>
  <c r="R199" i="6"/>
  <c r="R232" i="6"/>
  <c r="Q307" i="6"/>
  <c r="R15" i="6"/>
  <c r="R364" i="6"/>
  <c r="Q211" i="6"/>
  <c r="Q92" i="6"/>
  <c r="R37" i="6"/>
  <c r="R231" i="6"/>
  <c r="Q343" i="6"/>
  <c r="Q352" i="6"/>
  <c r="Q285" i="6"/>
  <c r="Q169" i="6"/>
  <c r="Q318" i="6"/>
  <c r="Q18" i="6"/>
  <c r="R249" i="6"/>
  <c r="I76" i="6"/>
  <c r="AB76" i="6" s="1"/>
  <c r="R157" i="6"/>
  <c r="Q145" i="6"/>
  <c r="R354" i="6"/>
  <c r="Q176" i="6"/>
  <c r="Q294" i="6"/>
  <c r="Q314" i="6"/>
  <c r="Q23" i="6"/>
  <c r="R143" i="6"/>
  <c r="Q136" i="6"/>
  <c r="Q42" i="6"/>
  <c r="Q54" i="6"/>
  <c r="Q59" i="6"/>
  <c r="R31" i="6"/>
  <c r="R297" i="6"/>
  <c r="Q61" i="6"/>
  <c r="R329" i="6"/>
  <c r="R347" i="6"/>
  <c r="R213" i="6"/>
  <c r="R276" i="6"/>
  <c r="Q218" i="6"/>
  <c r="Q39" i="6"/>
  <c r="Q375" i="6"/>
  <c r="R163" i="6"/>
  <c r="Q252" i="6"/>
  <c r="R350" i="6"/>
  <c r="R162" i="6"/>
  <c r="R291" i="6"/>
  <c r="Q236" i="6"/>
  <c r="R99" i="6"/>
  <c r="Q66" i="6"/>
  <c r="Q46" i="6"/>
  <c r="Q361" i="6"/>
  <c r="R288" i="6"/>
  <c r="R156" i="6"/>
  <c r="R250" i="6"/>
  <c r="Q275" i="6"/>
  <c r="R255" i="6"/>
  <c r="R328" i="6"/>
  <c r="Q89" i="6"/>
  <c r="Q219" i="6"/>
  <c r="Q101" i="6"/>
  <c r="R259" i="6"/>
  <c r="R20" i="6"/>
  <c r="R216" i="6"/>
  <c r="R267" i="6"/>
  <c r="R226" i="6"/>
  <c r="Q16" i="6"/>
  <c r="Q223" i="6"/>
  <c r="Q362" i="6"/>
  <c r="R49" i="6"/>
  <c r="Q148" i="6"/>
  <c r="R5" i="6"/>
  <c r="R172" i="6"/>
  <c r="Q132" i="6"/>
  <c r="R270" i="6"/>
  <c r="R311" i="6"/>
  <c r="R368" i="6"/>
  <c r="Q244" i="6"/>
  <c r="Q65" i="6"/>
  <c r="I73" i="6"/>
  <c r="R289" i="6"/>
  <c r="I181" i="6"/>
  <c r="AB181" i="6" s="1"/>
  <c r="I117" i="6"/>
  <c r="AB117" i="6" s="1"/>
  <c r="F67" i="4"/>
  <c r="E86" i="1" s="1"/>
  <c r="D80" i="1"/>
  <c r="D70" i="4"/>
  <c r="F70" i="4" s="1"/>
  <c r="E82" i="1" s="1"/>
  <c r="I358" i="6" l="1"/>
  <c r="AB358" i="6" s="1"/>
  <c r="H377" i="6"/>
  <c r="AA377" i="6" s="1"/>
  <c r="I140" i="6"/>
  <c r="AB140" i="6" s="1"/>
  <c r="I294" i="6"/>
  <c r="AB294" i="6" s="1"/>
  <c r="I252" i="6"/>
  <c r="AB252" i="6" s="1"/>
  <c r="AB287" i="6"/>
  <c r="I318" i="6"/>
  <c r="AB318" i="6" s="1"/>
  <c r="AA294" i="6"/>
  <c r="H142" i="6"/>
  <c r="AA142" i="6" s="1"/>
  <c r="I146" i="6"/>
  <c r="AB146" i="6" s="1"/>
  <c r="AA320" i="6"/>
  <c r="H370" i="6"/>
  <c r="AA370" i="6" s="1"/>
  <c r="AA358" i="6"/>
  <c r="I284" i="6"/>
  <c r="AB284" i="6" s="1"/>
  <c r="H116" i="6"/>
  <c r="AA116" i="6" s="1"/>
  <c r="I341" i="6"/>
  <c r="AB341" i="6" s="1"/>
  <c r="AB171" i="6"/>
  <c r="I9" i="6"/>
  <c r="AB9" i="6" s="1"/>
  <c r="I291" i="6"/>
  <c r="AB291" i="6" s="1"/>
  <c r="H227" i="6"/>
  <c r="I123" i="6"/>
  <c r="AB123" i="6" s="1"/>
  <c r="AA123" i="6"/>
  <c r="AA53" i="6"/>
  <c r="I20" i="6"/>
  <c r="AB20" i="6" s="1"/>
  <c r="I334" i="6"/>
  <c r="AB334" i="6" s="1"/>
  <c r="H309" i="6"/>
  <c r="AA309" i="6" s="1"/>
  <c r="AB377" i="6"/>
  <c r="AA9" i="6"/>
  <c r="AA117" i="6"/>
  <c r="I86" i="6"/>
  <c r="AB86" i="6" s="1"/>
  <c r="H23" i="6"/>
  <c r="AA23" i="6" s="1"/>
  <c r="H152" i="6"/>
  <c r="AA152" i="6" s="1"/>
  <c r="H266" i="6"/>
  <c r="AA266" i="6" s="1"/>
  <c r="H41" i="6"/>
  <c r="I217" i="6"/>
  <c r="AB217" i="6" s="1"/>
  <c r="I353" i="6"/>
  <c r="I269" i="6"/>
  <c r="AB269" i="6" s="1"/>
  <c r="I338" i="6"/>
  <c r="AB338" i="6" s="1"/>
  <c r="AA217" i="6"/>
  <c r="AA55" i="6"/>
  <c r="H171" i="6"/>
  <c r="AA171" i="6" s="1"/>
  <c r="I53" i="6"/>
  <c r="AB53" i="6" s="1"/>
  <c r="I195" i="6"/>
  <c r="AB195" i="6" s="1"/>
  <c r="I148" i="6"/>
  <c r="AB148" i="6" s="1"/>
  <c r="I14" i="6"/>
  <c r="AB14" i="6" s="1"/>
  <c r="I147" i="6"/>
  <c r="AB147" i="6" s="1"/>
  <c r="I55" i="6"/>
  <c r="AB55" i="6" s="1"/>
  <c r="I145" i="6"/>
  <c r="AB145" i="6" s="1"/>
  <c r="AA334" i="6"/>
  <c r="I292" i="6"/>
  <c r="AB292" i="6" s="1"/>
  <c r="H343" i="6"/>
  <c r="AA343" i="6" s="1"/>
  <c r="H98" i="6"/>
  <c r="AA98" i="6" s="1"/>
  <c r="I84" i="6"/>
  <c r="AB84" i="6" s="1"/>
  <c r="AA145" i="6"/>
  <c r="AA84" i="6"/>
  <c r="H154" i="6"/>
  <c r="AA154" i="6" s="1"/>
  <c r="I52" i="6"/>
  <c r="AB52" i="6" s="1"/>
  <c r="AB121" i="6"/>
  <c r="AA52" i="6"/>
  <c r="H80" i="6"/>
  <c r="AA80" i="6" s="1"/>
  <c r="AA148" i="6"/>
  <c r="I54" i="6"/>
  <c r="AB54" i="6" s="1"/>
  <c r="H39" i="6"/>
  <c r="AA39" i="6" s="1"/>
  <c r="H137" i="6"/>
  <c r="AA137" i="6" s="1"/>
  <c r="H99" i="6"/>
  <c r="AA99" i="6" s="1"/>
  <c r="I187" i="6"/>
  <c r="AB187" i="6" s="1"/>
  <c r="H121" i="6"/>
  <c r="AA121" i="6" s="1"/>
  <c r="AB306" i="6"/>
  <c r="AA147" i="6"/>
  <c r="I360" i="6"/>
  <c r="AB360" i="6" s="1"/>
  <c r="I317" i="6"/>
  <c r="AB317" i="6" s="1"/>
  <c r="I12" i="6"/>
  <c r="AB12" i="6" s="1"/>
  <c r="H306" i="6"/>
  <c r="AA306" i="6" s="1"/>
  <c r="I31" i="6"/>
  <c r="AA54" i="6"/>
  <c r="AA342" i="6"/>
  <c r="AA65" i="6"/>
  <c r="H67" i="6"/>
  <c r="AA67" i="6" s="1"/>
  <c r="AB67" i="6"/>
  <c r="H323" i="6"/>
  <c r="AA323" i="6" s="1"/>
  <c r="I22" i="6"/>
  <c r="AB22" i="6" s="1"/>
  <c r="AB322" i="6"/>
  <c r="I64" i="6"/>
  <c r="AB64" i="6" s="1"/>
  <c r="I26" i="6"/>
  <c r="AB26" i="6" s="1"/>
  <c r="H42" i="6"/>
  <c r="AA42" i="6" s="1"/>
  <c r="I293" i="6"/>
  <c r="AB293" i="6" s="1"/>
  <c r="H83" i="6"/>
  <c r="AA83" i="6" s="1"/>
  <c r="AB99" i="6"/>
  <c r="AA351" i="6"/>
  <c r="AA262" i="6"/>
  <c r="I262" i="6"/>
  <c r="AB262" i="6" s="1"/>
  <c r="H120" i="6"/>
  <c r="AA120" i="6" s="1"/>
  <c r="AA64" i="6"/>
  <c r="I315" i="6"/>
  <c r="AB315" i="6" s="1"/>
  <c r="AB216" i="6"/>
  <c r="I268" i="6"/>
  <c r="AB268" i="6" s="1"/>
  <c r="I40" i="6"/>
  <c r="AB40" i="6" s="1"/>
  <c r="H365" i="6"/>
  <c r="AA365" i="6" s="1"/>
  <c r="H51" i="6"/>
  <c r="AA51" i="6" s="1"/>
  <c r="I230" i="6"/>
  <c r="AB230" i="6" s="1"/>
  <c r="I236" i="6"/>
  <c r="AB236" i="6" s="1"/>
  <c r="I378" i="6"/>
  <c r="AB378" i="6" s="1"/>
  <c r="I218" i="6"/>
  <c r="AB218" i="6" s="1"/>
  <c r="H109" i="6"/>
  <c r="AA109" i="6" s="1"/>
  <c r="I128" i="6"/>
  <c r="AB128" i="6" s="1"/>
  <c r="H164" i="6"/>
  <c r="AB337" i="6"/>
  <c r="AB344" i="6"/>
  <c r="AA236" i="6"/>
  <c r="I206" i="6"/>
  <c r="AB206" i="6" s="1"/>
  <c r="AA268" i="6"/>
  <c r="H208" i="6"/>
  <c r="AA208" i="6" s="1"/>
  <c r="H212" i="6"/>
  <c r="AA212" i="6" s="1"/>
  <c r="H344" i="6"/>
  <c r="AA344" i="6" s="1"/>
  <c r="AA362" i="6"/>
  <c r="AA218" i="6"/>
  <c r="H153" i="6"/>
  <c r="AA153" i="6" s="1"/>
  <c r="AB112" i="6"/>
  <c r="AB212" i="6"/>
  <c r="I90" i="6"/>
  <c r="AB90" i="6" s="1"/>
  <c r="AA305" i="6"/>
  <c r="H2" i="6"/>
  <c r="AA2" i="6" s="1"/>
  <c r="I330" i="6"/>
  <c r="AB330" i="6" s="1"/>
  <c r="H216" i="6"/>
  <c r="AA216" i="6" s="1"/>
  <c r="H95" i="6"/>
  <c r="AA95" i="6" s="1"/>
  <c r="H352" i="6"/>
  <c r="AA352" i="6" s="1"/>
  <c r="H144" i="6"/>
  <c r="AA144" i="6" s="1"/>
  <c r="AA376" i="6"/>
  <c r="AB191" i="6"/>
  <c r="H8" i="6"/>
  <c r="AA8" i="6" s="1"/>
  <c r="H107" i="6"/>
  <c r="AA107" i="6" s="1"/>
  <c r="I189" i="6"/>
  <c r="AB189" i="6" s="1"/>
  <c r="H374" i="6"/>
  <c r="AA374" i="6" s="1"/>
  <c r="H68" i="6"/>
  <c r="AA68" i="6" s="1"/>
  <c r="I135" i="6"/>
  <c r="AB135" i="6" s="1"/>
  <c r="I247" i="6"/>
  <c r="AB247" i="6" s="1"/>
  <c r="H108" i="6"/>
  <c r="AA108" i="6" s="1"/>
  <c r="I376" i="6"/>
  <c r="AB376" i="6" s="1"/>
  <c r="AA135" i="6"/>
  <c r="I326" i="6"/>
  <c r="AB326" i="6" s="1"/>
  <c r="AB196" i="6"/>
  <c r="AA189" i="6"/>
  <c r="H316" i="6"/>
  <c r="AA316" i="6" s="1"/>
  <c r="I194" i="6"/>
  <c r="AB194" i="6" s="1"/>
  <c r="H238" i="6"/>
  <c r="AA238" i="6" s="1"/>
  <c r="I125" i="6"/>
  <c r="AB125" i="6" s="1"/>
  <c r="AA125" i="6"/>
  <c r="AA206" i="6"/>
  <c r="AB95" i="6"/>
  <c r="H112" i="6"/>
  <c r="AA112" i="6" s="1"/>
  <c r="H337" i="6"/>
  <c r="AA337" i="6" s="1"/>
  <c r="H105" i="6"/>
  <c r="AA105" i="6" s="1"/>
  <c r="I351" i="6"/>
  <c r="AB351" i="6" s="1"/>
  <c r="AB208" i="6"/>
  <c r="H372" i="6"/>
  <c r="AA372" i="6" s="1"/>
  <c r="AA330" i="6"/>
  <c r="AA378" i="6"/>
  <c r="I62" i="6"/>
  <c r="AB62" i="6" s="1"/>
  <c r="I222" i="6"/>
  <c r="AB222" i="6" s="1"/>
  <c r="H43" i="6"/>
  <c r="AA43" i="6" s="1"/>
  <c r="AB87" i="6"/>
  <c r="I114" i="6"/>
  <c r="AB114" i="6" s="1"/>
  <c r="I198" i="6"/>
  <c r="AB198" i="6" s="1"/>
  <c r="H106" i="6"/>
  <c r="AA106" i="6" s="1"/>
  <c r="I85" i="6"/>
  <c r="AB85" i="6" s="1"/>
  <c r="H57" i="6"/>
  <c r="AA57" i="6" s="1"/>
  <c r="AB43" i="6"/>
  <c r="H47" i="6"/>
  <c r="AA47" i="6" s="1"/>
  <c r="H92" i="6"/>
  <c r="AA92" i="6" s="1"/>
  <c r="I342" i="6"/>
  <c r="AB342" i="6" s="1"/>
  <c r="I50" i="6"/>
  <c r="AB50" i="6" s="1"/>
  <c r="AA315" i="6"/>
  <c r="AA293" i="6"/>
  <c r="AA27" i="6"/>
  <c r="I331" i="6"/>
  <c r="AB331" i="6" s="1"/>
  <c r="H340" i="6"/>
  <c r="AA340" i="6" s="1"/>
  <c r="I138" i="6"/>
  <c r="AB138" i="6" s="1"/>
  <c r="I27" i="6"/>
  <c r="AB27" i="6" s="1"/>
  <c r="I367" i="6"/>
  <c r="AB367" i="6" s="1"/>
  <c r="I65" i="6"/>
  <c r="AB65" i="6" s="1"/>
  <c r="H322" i="6"/>
  <c r="AA322" i="6" s="1"/>
  <c r="H124" i="6"/>
  <c r="AA124" i="6" s="1"/>
  <c r="H223" i="6"/>
  <c r="AA223" i="6" s="1"/>
  <c r="H87" i="6"/>
  <c r="AA87" i="6" s="1"/>
  <c r="H211" i="6"/>
  <c r="AA211" i="6" s="1"/>
  <c r="AB350" i="6"/>
  <c r="AB106" i="6"/>
  <c r="I296" i="6"/>
  <c r="AB296" i="6" s="1"/>
  <c r="H35" i="6"/>
  <c r="AA35" i="6" s="1"/>
  <c r="H350" i="6"/>
  <c r="AA350" i="6" s="1"/>
  <c r="AA138" i="6"/>
  <c r="AA367" i="6"/>
  <c r="AB250" i="6"/>
  <c r="AA169" i="6"/>
  <c r="I72" i="6"/>
  <c r="AB72" i="6" s="1"/>
  <c r="AA3" i="6"/>
  <c r="H110" i="6"/>
  <c r="AA110" i="6" s="1"/>
  <c r="I233" i="6"/>
  <c r="AB233" i="6" s="1"/>
  <c r="I179" i="6"/>
  <c r="AB179" i="6" s="1"/>
  <c r="AA302" i="6"/>
  <c r="H263" i="6"/>
  <c r="AA263" i="6" s="1"/>
  <c r="I346" i="6"/>
  <c r="AB346" i="6" s="1"/>
  <c r="I168" i="6"/>
  <c r="AB168" i="6" s="1"/>
  <c r="I204" i="6"/>
  <c r="AB204" i="6" s="1"/>
  <c r="H162" i="6"/>
  <c r="AA162" i="6" s="1"/>
  <c r="H347" i="6"/>
  <c r="AA347" i="6" s="1"/>
  <c r="AA70" i="6"/>
  <c r="H308" i="6"/>
  <c r="AA308" i="6" s="1"/>
  <c r="H345" i="6"/>
  <c r="AA345" i="6" s="1"/>
  <c r="H13" i="6"/>
  <c r="AA13" i="6" s="1"/>
  <c r="H173" i="6"/>
  <c r="AA173" i="6" s="1"/>
  <c r="H285" i="6"/>
  <c r="AA285" i="6" s="1"/>
  <c r="I253" i="6"/>
  <c r="AB253" i="6" s="1"/>
  <c r="H18" i="6"/>
  <c r="AA18" i="6" s="1"/>
  <c r="I161" i="6"/>
  <c r="AB161" i="6" s="1"/>
  <c r="I368" i="6"/>
  <c r="AB368" i="6" s="1"/>
  <c r="AA252" i="6"/>
  <c r="AA318" i="6"/>
  <c r="H287" i="6"/>
  <c r="AA287" i="6" s="1"/>
  <c r="I70" i="6"/>
  <c r="AB70" i="6" s="1"/>
  <c r="I280" i="6"/>
  <c r="AB280" i="6" s="1"/>
  <c r="H25" i="6"/>
  <c r="AA25" i="6" s="1"/>
  <c r="H7" i="6"/>
  <c r="AA7" i="6" s="1"/>
  <c r="I182" i="6"/>
  <c r="AB182" i="6" s="1"/>
  <c r="I186" i="6"/>
  <c r="AB186" i="6" s="1"/>
  <c r="I127" i="6"/>
  <c r="H167" i="6"/>
  <c r="AA167" i="6" s="1"/>
  <c r="I311" i="6"/>
  <c r="AB311" i="6" s="1"/>
  <c r="I15" i="6"/>
  <c r="AB15" i="6" s="1"/>
  <c r="AA56" i="6"/>
  <c r="H366" i="6"/>
  <c r="AA366" i="6" s="1"/>
  <c r="I111" i="6"/>
  <c r="AB111" i="6" s="1"/>
  <c r="I174" i="6"/>
  <c r="AB174" i="6" s="1"/>
  <c r="AB347" i="6"/>
  <c r="I134" i="6"/>
  <c r="AB134" i="6" s="1"/>
  <c r="H239" i="6"/>
  <c r="AA239" i="6" s="1"/>
  <c r="I169" i="6"/>
  <c r="AB169" i="6" s="1"/>
  <c r="H250" i="6"/>
  <c r="AA250" i="6" s="1"/>
  <c r="I336" i="6"/>
  <c r="AB336" i="6" s="1"/>
  <c r="I61" i="6"/>
  <c r="AB61" i="6" s="1"/>
  <c r="H193" i="6"/>
  <c r="AA193" i="6" s="1"/>
  <c r="AA134" i="6"/>
  <c r="I207" i="6"/>
  <c r="AB207" i="6" s="1"/>
  <c r="I270" i="6"/>
  <c r="AB270" i="6" s="1"/>
  <c r="I373" i="6"/>
  <c r="AB373" i="6" s="1"/>
  <c r="I45" i="6"/>
  <c r="AB45" i="6" s="1"/>
  <c r="H133" i="6"/>
  <c r="AA133" i="6" s="1"/>
  <c r="I188" i="6"/>
  <c r="AB188" i="6" s="1"/>
  <c r="I277" i="6"/>
  <c r="AB277" i="6" s="1"/>
  <c r="I96" i="6"/>
  <c r="AB96" i="6" s="1"/>
  <c r="I267" i="6"/>
  <c r="AB267" i="6" s="1"/>
  <c r="AA361" i="6"/>
  <c r="AA61" i="6"/>
  <c r="I302" i="6"/>
  <c r="AB302" i="6" s="1"/>
  <c r="AA136" i="6"/>
  <c r="AA141" i="6"/>
  <c r="I197" i="6"/>
  <c r="AB197" i="6" s="1"/>
  <c r="I155" i="6"/>
  <c r="AB155" i="6" s="1"/>
  <c r="AB163" i="6"/>
  <c r="AB263" i="6"/>
  <c r="AB10" i="6"/>
  <c r="AB340" i="6"/>
  <c r="I256" i="6"/>
  <c r="AB256" i="6" s="1"/>
  <c r="I19" i="6"/>
  <c r="AB19" i="6" s="1"/>
  <c r="I178" i="6"/>
  <c r="AB178" i="6" s="1"/>
  <c r="I361" i="6"/>
  <c r="AB361" i="6" s="1"/>
  <c r="AB49" i="6"/>
  <c r="AA233" i="6"/>
  <c r="I136" i="6"/>
  <c r="AB136" i="6" s="1"/>
  <c r="AA19" i="6"/>
  <c r="AB203" i="6"/>
  <c r="AA246" i="6"/>
  <c r="H192" i="6"/>
  <c r="AA192" i="6" s="1"/>
  <c r="AA277" i="6"/>
  <c r="H203" i="6"/>
  <c r="AA203" i="6" s="1"/>
  <c r="I242" i="6"/>
  <c r="AB242" i="6" s="1"/>
  <c r="I258" i="6"/>
  <c r="AB258" i="6" s="1"/>
  <c r="H129" i="6"/>
  <c r="AA129" i="6" s="1"/>
  <c r="H10" i="6"/>
  <c r="AA10" i="6" s="1"/>
  <c r="H49" i="6"/>
  <c r="AA49" i="6" s="1"/>
  <c r="I320" i="6"/>
  <c r="AB320" i="6" s="1"/>
  <c r="AA96" i="6"/>
  <c r="AA258" i="6"/>
  <c r="AA188" i="6"/>
  <c r="I246" i="6"/>
  <c r="AB246" i="6" s="1"/>
  <c r="H163" i="6"/>
  <c r="AA163" i="6" s="1"/>
  <c r="H32" i="6"/>
  <c r="AA32" i="6" s="1"/>
  <c r="I77" i="6"/>
  <c r="AB77" i="6" s="1"/>
  <c r="H48" i="6"/>
  <c r="AA48" i="6" s="1"/>
  <c r="H199" i="6"/>
  <c r="AA199" i="6" s="1"/>
  <c r="I215" i="6"/>
  <c r="AB215" i="6" s="1"/>
  <c r="AB199" i="6"/>
  <c r="AA146" i="6"/>
  <c r="AB129" i="6"/>
  <c r="H156" i="6"/>
  <c r="AA156" i="6" s="1"/>
  <c r="I141" i="6"/>
  <c r="AB141" i="6" s="1"/>
  <c r="I243" i="6"/>
  <c r="AB243" i="6" s="1"/>
  <c r="AB156" i="6"/>
  <c r="AA45" i="6"/>
  <c r="I91" i="6"/>
  <c r="AB91" i="6" s="1"/>
  <c r="AA77" i="6"/>
  <c r="H355" i="6"/>
  <c r="AA355" i="6" s="1"/>
  <c r="I235" i="6"/>
  <c r="AB235" i="6" s="1"/>
  <c r="AB7" i="6"/>
  <c r="I333" i="6"/>
  <c r="AB333" i="6" s="1"/>
  <c r="H278" i="6"/>
  <c r="AA278" i="6" s="1"/>
  <c r="AA181" i="6"/>
  <c r="I56" i="6"/>
  <c r="AB56" i="6" s="1"/>
  <c r="I313" i="6"/>
  <c r="AB313" i="6" s="1"/>
  <c r="I93" i="6"/>
  <c r="AB93" i="6" s="1"/>
  <c r="I273" i="6"/>
  <c r="AB273" i="6" s="1"/>
  <c r="AB167" i="6"/>
  <c r="I356" i="6"/>
  <c r="AB356" i="6" s="1"/>
  <c r="I324" i="6"/>
  <c r="AB324" i="6" s="1"/>
  <c r="AA182" i="6"/>
  <c r="H219" i="6"/>
  <c r="AA219" i="6" s="1"/>
  <c r="AA324" i="6"/>
  <c r="I113" i="6"/>
  <c r="AB113" i="6" s="1"/>
  <c r="H184" i="6"/>
  <c r="AA184" i="6" s="1"/>
  <c r="AB162" i="6"/>
  <c r="H299" i="6"/>
  <c r="AA299" i="6" s="1"/>
  <c r="AA113" i="6"/>
  <c r="AA111" i="6"/>
  <c r="AB32" i="6"/>
  <c r="AA247" i="6"/>
  <c r="AB51" i="6"/>
  <c r="AA273" i="6"/>
  <c r="AA93" i="6"/>
  <c r="H180" i="6"/>
  <c r="AA180" i="6" s="1"/>
  <c r="AB329" i="6"/>
  <c r="H335" i="6"/>
  <c r="AA335" i="6" s="1"/>
  <c r="I69" i="6"/>
  <c r="AB69" i="6" s="1"/>
  <c r="AB328" i="6"/>
  <c r="AB224" i="6"/>
  <c r="H234" i="6"/>
  <c r="AA234" i="6" s="1"/>
  <c r="AA126" i="6"/>
  <c r="AA166" i="6"/>
  <c r="I3" i="6"/>
  <c r="AB3" i="6" s="1"/>
  <c r="I100" i="6"/>
  <c r="AB100" i="6" s="1"/>
  <c r="AB37" i="6"/>
  <c r="AA379" i="6"/>
  <c r="AA114" i="6"/>
  <c r="H4" i="6"/>
  <c r="AA4" i="6" s="1"/>
  <c r="H245" i="6"/>
  <c r="AA245" i="6" s="1"/>
  <c r="I200" i="6"/>
  <c r="AB200" i="6" s="1"/>
  <c r="H28" i="6"/>
  <c r="AA28" i="6" s="1"/>
  <c r="I232" i="6"/>
  <c r="AB232" i="6" s="1"/>
  <c r="AB180" i="6"/>
  <c r="H21" i="6"/>
  <c r="AA21" i="6" s="1"/>
  <c r="AA380" i="6"/>
  <c r="H205" i="6"/>
  <c r="AA205" i="6" s="1"/>
  <c r="I375" i="6"/>
  <c r="AB375" i="6" s="1"/>
  <c r="I157" i="6"/>
  <c r="AB157" i="6" s="1"/>
  <c r="H321" i="6"/>
  <c r="AA321" i="6" s="1"/>
  <c r="AB28" i="6"/>
  <c r="I213" i="6"/>
  <c r="AB213" i="6" s="1"/>
  <c r="AB234" i="6"/>
  <c r="AA359" i="6"/>
  <c r="AA215" i="6"/>
  <c r="I314" i="6"/>
  <c r="AB314" i="6" s="1"/>
  <c r="H60" i="6"/>
  <c r="AA60" i="6" s="1"/>
  <c r="AB226" i="6"/>
  <c r="AA314" i="6"/>
  <c r="AA88" i="6"/>
  <c r="AB295" i="6"/>
  <c r="AA327" i="6"/>
  <c r="I286" i="6"/>
  <c r="AB286" i="6" s="1"/>
  <c r="I88" i="6"/>
  <c r="AB88" i="6" s="1"/>
  <c r="AB319" i="6"/>
  <c r="AB261" i="6"/>
  <c r="AA69" i="6"/>
  <c r="AB21" i="6"/>
  <c r="I149" i="6"/>
  <c r="AB149" i="6" s="1"/>
  <c r="I363" i="6"/>
  <c r="AB363" i="6" s="1"/>
  <c r="I17" i="6"/>
  <c r="AB17" i="6" s="1"/>
  <c r="H279" i="6"/>
  <c r="AA279" i="6" s="1"/>
  <c r="I104" i="6"/>
  <c r="AB104" i="6" s="1"/>
  <c r="AA104" i="6"/>
  <c r="H329" i="6"/>
  <c r="AA329" i="6" s="1"/>
  <c r="AB335" i="6"/>
  <c r="AA214" i="6"/>
  <c r="AA34" i="6"/>
  <c r="I75" i="6"/>
  <c r="AB75" i="6" s="1"/>
  <c r="AA375" i="6"/>
  <c r="AB110" i="6"/>
  <c r="AB193" i="6"/>
  <c r="AB298" i="6"/>
  <c r="AA282" i="6"/>
  <c r="AA46" i="6"/>
  <c r="AB150" i="6"/>
  <c r="AB24" i="6"/>
  <c r="AB82" i="6"/>
  <c r="AA300" i="6"/>
  <c r="AA131" i="6"/>
  <c r="AA71" i="6"/>
  <c r="AA94" i="6"/>
  <c r="AA248" i="6"/>
  <c r="AA275" i="6"/>
  <c r="AA339" i="6"/>
  <c r="AA139" i="6"/>
  <c r="AB205" i="6"/>
  <c r="AB249" i="6"/>
  <c r="AB119" i="6"/>
  <c r="AA38" i="6"/>
  <c r="AA369" i="6"/>
  <c r="AB74" i="6"/>
  <c r="AB288" i="6"/>
  <c r="AB245" i="6"/>
  <c r="AA81" i="6"/>
  <c r="AA265" i="6"/>
  <c r="AA165" i="6"/>
  <c r="AA29" i="6"/>
  <c r="AB325" i="6"/>
  <c r="AB177" i="6"/>
  <c r="AB255" i="6"/>
  <c r="AA307" i="6"/>
  <c r="AA209" i="6"/>
  <c r="AB289" i="6"/>
  <c r="AA229" i="6"/>
  <c r="AB6" i="6"/>
  <c r="AA349" i="6"/>
  <c r="AB257" i="6"/>
  <c r="AA170" i="6"/>
  <c r="AB183" i="6"/>
  <c r="AA190" i="6"/>
  <c r="AA332" i="6"/>
  <c r="AA160" i="6"/>
  <c r="H224" i="6"/>
  <c r="AA224" i="6" s="1"/>
  <c r="H101" i="6"/>
  <c r="AA101" i="6" s="1"/>
  <c r="I190" i="6"/>
  <c r="AB190" i="6" s="1"/>
  <c r="I305" i="6"/>
  <c r="AB305" i="6" s="1"/>
  <c r="H220" i="6"/>
  <c r="AA220" i="6" s="1"/>
  <c r="I379" i="6"/>
  <c r="AB379" i="6" s="1"/>
  <c r="H196" i="6"/>
  <c r="AA196" i="6" s="1"/>
  <c r="I58" i="6"/>
  <c r="AB58" i="6" s="1"/>
  <c r="I362" i="6"/>
  <c r="AB362" i="6" s="1"/>
  <c r="H228" i="6"/>
  <c r="AA228" i="6" s="1"/>
  <c r="I63" i="6"/>
  <c r="AB63" i="6" s="1"/>
  <c r="I165" i="6"/>
  <c r="AB165" i="6" s="1"/>
  <c r="H272" i="6"/>
  <c r="AA272" i="6" s="1"/>
  <c r="H255" i="6"/>
  <c r="AA255" i="6" s="1"/>
  <c r="H328" i="6"/>
  <c r="AA328" i="6" s="1"/>
  <c r="I94" i="6"/>
  <c r="AB94" i="6" s="1"/>
  <c r="I210" i="6"/>
  <c r="AB210" i="6" s="1"/>
  <c r="I139" i="6"/>
  <c r="AB139" i="6" s="1"/>
  <c r="H82" i="6"/>
  <c r="AA82" i="6" s="1"/>
  <c r="H288" i="6"/>
  <c r="AA288" i="6" s="1"/>
  <c r="I175" i="6"/>
  <c r="AB175" i="6" s="1"/>
  <c r="I369" i="6"/>
  <c r="AB369" i="6" s="1"/>
  <c r="H159" i="6"/>
  <c r="AA159" i="6" s="1"/>
  <c r="H176" i="6"/>
  <c r="AA176" i="6" s="1"/>
  <c r="I282" i="6"/>
  <c r="AB282" i="6" s="1"/>
  <c r="I30" i="6"/>
  <c r="AB30" i="6" s="1"/>
  <c r="I349" i="6"/>
  <c r="AB349" i="6" s="1"/>
  <c r="I259" i="6"/>
  <c r="AB259" i="6" s="1"/>
  <c r="I185" i="6"/>
  <c r="AB185" i="6" s="1"/>
  <c r="I297" i="6"/>
  <c r="AB297" i="6" s="1"/>
  <c r="H251" i="6"/>
  <c r="AA251" i="6" s="1"/>
  <c r="H325" i="6"/>
  <c r="AA325" i="6" s="1"/>
  <c r="I307" i="6"/>
  <c r="AB307" i="6" s="1"/>
  <c r="H118" i="6"/>
  <c r="AA118" i="6" s="1"/>
  <c r="H79" i="6"/>
  <c r="AA79" i="6" s="1"/>
  <c r="I209" i="6"/>
  <c r="AB209" i="6" s="1"/>
  <c r="I274" i="6"/>
  <c r="AB274" i="6" s="1"/>
  <c r="I229" i="6"/>
  <c r="AB229" i="6" s="1"/>
  <c r="I281" i="6"/>
  <c r="AB281" i="6" s="1"/>
  <c r="I260" i="6"/>
  <c r="AB260" i="6" s="1"/>
  <c r="I172" i="6"/>
  <c r="AB172" i="6" s="1"/>
  <c r="I290" i="6"/>
  <c r="AB290" i="6" s="1"/>
  <c r="I5" i="6"/>
  <c r="AB5" i="6" s="1"/>
  <c r="H381" i="6"/>
  <c r="AA381" i="6" s="1"/>
  <c r="H244" i="6"/>
  <c r="AA244" i="6" s="1"/>
  <c r="I160" i="6"/>
  <c r="AB160" i="6" s="1"/>
  <c r="H312" i="6"/>
  <c r="AA312" i="6" s="1"/>
  <c r="I332" i="6"/>
  <c r="AB332" i="6" s="1"/>
  <c r="I78" i="6"/>
  <c r="AB78" i="6" s="1"/>
  <c r="I36" i="6"/>
  <c r="AB36" i="6" s="1"/>
  <c r="I201" i="6"/>
  <c r="AB201" i="6" s="1"/>
  <c r="I265" i="6"/>
  <c r="AB265" i="6" s="1"/>
  <c r="H16" i="6"/>
  <c r="AA16" i="6" s="1"/>
  <c r="I170" i="6"/>
  <c r="AB170" i="6" s="1"/>
  <c r="I29" i="6"/>
  <c r="AB29" i="6" s="1"/>
  <c r="H183" i="6"/>
  <c r="AA183" i="6" s="1"/>
  <c r="H202" i="6"/>
  <c r="AA202" i="6" s="1"/>
  <c r="I348" i="6"/>
  <c r="AB348" i="6" s="1"/>
  <c r="I11" i="6"/>
  <c r="AB11" i="6" s="1"/>
  <c r="H177" i="6"/>
  <c r="AA177" i="6" s="1"/>
  <c r="H289" i="6"/>
  <c r="AA289" i="6" s="1"/>
  <c r="H310" i="6"/>
  <c r="AA310" i="6" s="1"/>
  <c r="H132" i="6"/>
  <c r="AA132" i="6" s="1"/>
  <c r="H6" i="6"/>
  <c r="AA6" i="6" s="1"/>
  <c r="I122" i="6"/>
  <c r="AB122" i="6" s="1"/>
  <c r="H115" i="6"/>
  <c r="AA115" i="6" s="1"/>
  <c r="H89" i="6"/>
  <c r="AA89" i="6" s="1"/>
  <c r="I354" i="6"/>
  <c r="AB354" i="6" s="1"/>
  <c r="H257" i="6"/>
  <c r="AA257" i="6" s="1"/>
  <c r="H119" i="6"/>
  <c r="AA119" i="6" s="1"/>
  <c r="H261" i="6"/>
  <c r="AA261" i="6" s="1"/>
  <c r="H249" i="6"/>
  <c r="AA249" i="6" s="1"/>
  <c r="I327" i="6"/>
  <c r="AB327" i="6" s="1"/>
  <c r="I81" i="6"/>
  <c r="AB81" i="6" s="1"/>
  <c r="I339" i="6"/>
  <c r="AB339" i="6" s="1"/>
  <c r="I275" i="6"/>
  <c r="AB275" i="6" s="1"/>
  <c r="I166" i="6"/>
  <c r="AB166" i="6" s="1"/>
  <c r="I359" i="6"/>
  <c r="AB359" i="6" s="1"/>
  <c r="I71" i="6"/>
  <c r="AB71" i="6" s="1"/>
  <c r="H295" i="6"/>
  <c r="AA295" i="6" s="1"/>
  <c r="H264" i="6"/>
  <c r="AA264" i="6" s="1"/>
  <c r="I304" i="6"/>
  <c r="AB304" i="6" s="1"/>
  <c r="H301" i="6"/>
  <c r="AA301" i="6" s="1"/>
  <c r="H59" i="6"/>
  <c r="AA59" i="6" s="1"/>
  <c r="H37" i="6"/>
  <c r="AA37" i="6" s="1"/>
  <c r="I34" i="6"/>
  <c r="AB34" i="6" s="1"/>
  <c r="I240" i="6"/>
  <c r="AB240" i="6" s="1"/>
  <c r="I38" i="6"/>
  <c r="AB38" i="6" s="1"/>
  <c r="H254" i="6"/>
  <c r="AA254" i="6" s="1"/>
  <c r="H66" i="6"/>
  <c r="AA66" i="6" s="1"/>
  <c r="H371" i="6"/>
  <c r="AA371" i="6" s="1"/>
  <c r="I225" i="6"/>
  <c r="AB225" i="6" s="1"/>
  <c r="AB73" i="6"/>
  <c r="I102" i="6"/>
  <c r="AB102" i="6" s="1"/>
  <c r="H271" i="6"/>
  <c r="AA271" i="6" s="1"/>
  <c r="H241" i="6"/>
  <c r="AA241" i="6" s="1"/>
  <c r="I364" i="6"/>
  <c r="AB364" i="6" s="1"/>
  <c r="I214" i="6"/>
  <c r="AB214" i="6" s="1"/>
  <c r="I143" i="6"/>
  <c r="AB143" i="6" s="1"/>
  <c r="I126" i="6"/>
  <c r="AB126" i="6" s="1"/>
  <c r="I303" i="6"/>
  <c r="AB303" i="6" s="1"/>
  <c r="I158" i="6"/>
  <c r="AB158" i="6" s="1"/>
  <c r="I276" i="6"/>
  <c r="AB276" i="6" s="1"/>
  <c r="H151" i="6"/>
  <c r="AA151" i="6" s="1"/>
  <c r="H237" i="6"/>
  <c r="AA237" i="6" s="1"/>
  <c r="I221" i="6"/>
  <c r="AB221" i="6" s="1"/>
  <c r="H33" i="6"/>
  <c r="AA33" i="6" s="1"/>
  <c r="H74" i="6"/>
  <c r="AA74" i="6" s="1"/>
  <c r="H150" i="6"/>
  <c r="AA150" i="6" s="1"/>
  <c r="H298" i="6"/>
  <c r="AA298" i="6" s="1"/>
  <c r="I131" i="6"/>
  <c r="AB131" i="6" s="1"/>
  <c r="I46" i="6"/>
  <c r="AB46" i="6" s="1"/>
  <c r="I300" i="6"/>
  <c r="AB300" i="6" s="1"/>
  <c r="I380" i="6"/>
  <c r="AB380" i="6" s="1"/>
  <c r="I103" i="6"/>
  <c r="AB103" i="6" s="1"/>
  <c r="I231" i="6"/>
  <c r="AB231" i="6" s="1"/>
  <c r="H97" i="6"/>
  <c r="AA97" i="6" s="1"/>
  <c r="H226" i="6"/>
  <c r="AA226" i="6" s="1"/>
  <c r="I248" i="6"/>
  <c r="AB248" i="6" s="1"/>
  <c r="H24" i="6"/>
  <c r="AA24" i="6" s="1"/>
  <c r="H319" i="6"/>
  <c r="AA319" i="6" s="1"/>
  <c r="H357" i="6"/>
  <c r="AA357" i="6" s="1"/>
  <c r="AA227" i="6"/>
  <c r="H130" i="6"/>
  <c r="AA130" i="6" s="1"/>
  <c r="I44" i="6"/>
  <c r="AB44" i="6" s="1"/>
  <c r="H191" i="6"/>
  <c r="AA191" i="6" s="1"/>
  <c r="E69" i="4"/>
  <c r="D81" i="1" s="1"/>
  <c r="AB283" i="6"/>
  <c r="AB127" i="6"/>
  <c r="AA164" i="6"/>
  <c r="AB31" i="6"/>
  <c r="AB353" i="6"/>
  <c r="AA41" i="6"/>
  <c r="D86" i="1"/>
  <c r="E70" i="4"/>
  <c r="D82" i="1" s="1"/>
  <c r="AE3" i="6" l="1" a="1"/>
  <c r="AE3" i="6" s="1"/>
  <c r="AE4" i="6" s="1"/>
  <c r="AD5" i="6" s="1"/>
  <c r="AF5" i="6" s="1"/>
  <c r="AD3" i="6" a="1"/>
  <c r="AD3" i="6" s="1"/>
  <c r="AD4" i="6" s="1"/>
  <c r="AD2" i="6" a="1"/>
  <c r="AD2" i="6" s="1"/>
  <c r="AD6" i="6" l="1"/>
  <c r="AF6" i="6" s="1"/>
</calcChain>
</file>

<file path=xl/sharedStrings.xml><?xml version="1.0" encoding="utf-8"?>
<sst xmlns="http://schemas.openxmlformats.org/spreadsheetml/2006/main" count="492" uniqueCount="403">
  <si>
    <t xml:space="preserve">TI Literature Number: </t>
  </si>
  <si>
    <t>Disclaimer</t>
  </si>
  <si>
    <t>CLEAR ALL USER INPUT CELLS BEFORE STARTING A NEW DESIGN</t>
  </si>
  <si>
    <t>WHERE APPLICABLE, A RECOMMENDED VALUE IS GIVEN THAT WILL BE THE BEST CHOICE TO MEET THE GIVEN SPECIFICATION.  IT IS IN THE BEST INTEREST OF THE USER TO USE A VALUE AS CLOSE AS POSSIBLE TO THE SUGGESTED RECOMMENDED VALUE.  FOR ACCURATE RESULTS, THE USER MUST ENTER THE ACTUAL VALUE USED IN THE APPROPRIATE CELL.</t>
  </si>
  <si>
    <t>Input Specifications</t>
  </si>
  <si>
    <t>Device Switching Frequency</t>
  </si>
  <si>
    <t>Device FLT Operation</t>
  </si>
  <si>
    <t>Device Fault Response Mechanism</t>
  </si>
  <si>
    <t>Device Table</t>
  </si>
  <si>
    <t>Switching Freq</t>
  </si>
  <si>
    <t>FLT Option</t>
  </si>
  <si>
    <t>BO</t>
  </si>
  <si>
    <t>OVP/TSD</t>
  </si>
  <si>
    <t>Fault Response</t>
  </si>
  <si>
    <t>Latch</t>
  </si>
  <si>
    <t>Auto restart</t>
  </si>
  <si>
    <t>Device selected:</t>
  </si>
  <si>
    <t>UCC287501</t>
  </si>
  <si>
    <t>UCC287502</t>
  </si>
  <si>
    <t>UCC287503</t>
  </si>
  <si>
    <t>UCC287504</t>
  </si>
  <si>
    <t>UCC287505</t>
  </si>
  <si>
    <t>UCC287506</t>
  </si>
  <si>
    <t>UCC287507</t>
  </si>
  <si>
    <t>UCC287508</t>
  </si>
  <si>
    <t>Fsw</t>
  </si>
  <si>
    <t>Fr</t>
  </si>
  <si>
    <t>Flt</t>
  </si>
  <si>
    <t>Input Voltage Type</t>
  </si>
  <si>
    <t>AC</t>
  </si>
  <si>
    <t>DC</t>
  </si>
  <si>
    <t>Minimum Input Voltage</t>
  </si>
  <si>
    <t>Maximum Input Voltage</t>
  </si>
  <si>
    <t>Nominal Input Voltage</t>
  </si>
  <si>
    <t>Minimum Line Frequency</t>
  </si>
  <si>
    <t>Hz</t>
  </si>
  <si>
    <t>Output Specifications</t>
  </si>
  <si>
    <t>Output Voltage</t>
  </si>
  <si>
    <t>Full Load Output Current</t>
  </si>
  <si>
    <t>Maximum Peak to Peak Output Voltage Ripple</t>
  </si>
  <si>
    <t>Allowable Voltage Drop During Load-step Transient</t>
  </si>
  <si>
    <t>V</t>
  </si>
  <si>
    <t>A</t>
  </si>
  <si>
    <t>M</t>
  </si>
  <si>
    <t>k</t>
  </si>
  <si>
    <t>m</t>
  </si>
  <si>
    <t>mic</t>
  </si>
  <si>
    <t>Input Capacitor Calculations</t>
  </si>
  <si>
    <t>Recommended Input Bulk Capacitance</t>
  </si>
  <si>
    <t>Flyback Transformer Calculations</t>
  </si>
  <si>
    <t>Switching MOSFET Drain to Source Voltage</t>
  </si>
  <si>
    <t>Primary to Secondary Turns Ratio</t>
  </si>
  <si>
    <t>User Selected Primary to Secondary Turns Ratio</t>
  </si>
  <si>
    <t>Auxiliary to Secondary Turns Ratio</t>
  </si>
  <si>
    <t>Current Sense Resistor Calculations</t>
  </si>
  <si>
    <t>Maximum Duty Cycle</t>
  </si>
  <si>
    <t>%</t>
  </si>
  <si>
    <t>Calculated Maximum Duty Cycle</t>
  </si>
  <si>
    <t>Current Sense Resistor</t>
  </si>
  <si>
    <t>Slope Compensation Resistor</t>
  </si>
  <si>
    <t xml:space="preserve">Transformer Primary Inductance </t>
  </si>
  <si>
    <t>Output Voltage Rectifier Forward Diode Drop</t>
  </si>
  <si>
    <t>CsMax</t>
  </si>
  <si>
    <t>Minimum Bulk Voltage Desired</t>
  </si>
  <si>
    <t>VDC</t>
  </si>
  <si>
    <t>Vin Min Based On AC or DC</t>
  </si>
  <si>
    <t>Numerator</t>
  </si>
  <si>
    <t>Denominator</t>
  </si>
  <si>
    <t>Estimated Efficiency</t>
  </si>
  <si>
    <t>Pin</t>
  </si>
  <si>
    <t>Calculated Output Power</t>
  </si>
  <si>
    <t>Asin Term</t>
  </si>
  <si>
    <t>FET Margin</t>
  </si>
  <si>
    <t>Output Diode Property Calculations</t>
  </si>
  <si>
    <t>Output Diode Blocking Voltage</t>
  </si>
  <si>
    <t>Max Vin</t>
  </si>
  <si>
    <t>Secondary to Primary Initial Calculation</t>
  </si>
  <si>
    <t>Nps Initial</t>
  </si>
  <si>
    <t>Ns with Floor</t>
  </si>
  <si>
    <t>Initial Max Reflected</t>
  </si>
  <si>
    <t>Allowed FET Voltage</t>
  </si>
  <si>
    <t>Switching MOSFET Derating Factor</t>
  </si>
  <si>
    <t>Voltage Left for Leakage</t>
  </si>
  <si>
    <t>Calc Dmax</t>
  </si>
  <si>
    <t>Vout + VF</t>
  </si>
  <si>
    <t>Lm</t>
  </si>
  <si>
    <t>Percentage of Total Power to Enter CCM</t>
  </si>
  <si>
    <t>Lm Numerator</t>
  </si>
  <si>
    <t>Lm Denominator</t>
  </si>
  <si>
    <t>VUvloOn</t>
  </si>
  <si>
    <t>VUvloOff</t>
  </si>
  <si>
    <t>User Selected Secondary to Auxiliary Turns Ratio</t>
  </si>
  <si>
    <t>Steady State VDD from Secondary to Aux</t>
  </si>
  <si>
    <t>Secondary to Auxiliary Turns Ratio</t>
  </si>
  <si>
    <t>Primary Turns : Secondary Turns</t>
  </si>
  <si>
    <t>Secondary Turns : Auxiliary Turns</t>
  </si>
  <si>
    <t>Turns Ratio</t>
  </si>
  <si>
    <t>Islope</t>
  </si>
  <si>
    <t>Soff</t>
  </si>
  <si>
    <t>Iramp</t>
  </si>
  <si>
    <t>RCs</t>
  </si>
  <si>
    <t>Ipk</t>
  </si>
  <si>
    <t>OffRamp</t>
  </si>
  <si>
    <t>Slope Comp Resistor</t>
  </si>
  <si>
    <t>CS With Comp</t>
  </si>
  <si>
    <t>Tsw</t>
  </si>
  <si>
    <t>nano</t>
  </si>
  <si>
    <t>is DCM</t>
  </si>
  <si>
    <t>Min Vin CCM Duty Cycle</t>
  </si>
  <si>
    <t>Min Vin DCM Duty Cycle</t>
  </si>
  <si>
    <t>Ipk for CCM and DCM at Min Vin</t>
  </si>
  <si>
    <t>Rework for RCs by fixing CalcRSlope</t>
  </si>
  <si>
    <t>Ohms</t>
  </si>
  <si>
    <t>A/s</t>
  </si>
  <si>
    <t>(Ohm*A)/s</t>
  </si>
  <si>
    <t>User Selected Current Sense Resistor</t>
  </si>
  <si>
    <t>User Selected Slope Compensation Resistor</t>
  </si>
  <si>
    <t>User Set Max Load Current Sense Voltage at Minimum Bulk Voltage</t>
  </si>
  <si>
    <t>Calculated Max Load Current Sense Voltage at Minimum Bulk Voltage</t>
  </si>
  <si>
    <t>Final Rslope</t>
  </si>
  <si>
    <t>H</t>
  </si>
  <si>
    <t>Final VCs at Max Load</t>
  </si>
  <si>
    <t>User RCs</t>
  </si>
  <si>
    <t>User Rslope</t>
  </si>
  <si>
    <t>User Final VCs at Max Load</t>
  </si>
  <si>
    <r>
      <t xml:space="preserve">ALL </t>
    </r>
    <r>
      <rPr>
        <b/>
        <sz val="14"/>
        <color rgb="FFFFCC99"/>
        <rFont val="Segoe UI"/>
        <family val="2"/>
      </rPr>
      <t>PEACH</t>
    </r>
    <r>
      <rPr>
        <b/>
        <sz val="14"/>
        <color theme="1"/>
        <rFont val="Segoe UI"/>
        <family val="2"/>
      </rPr>
      <t xml:space="preserve"> CELLS ARE USER INPUTS</t>
    </r>
  </si>
  <si>
    <t>Output Capacitor Calculations</t>
  </si>
  <si>
    <t>Cout based on ripple</t>
  </si>
  <si>
    <t>Cout based on transient</t>
  </si>
  <si>
    <t>fRHPZ</t>
  </si>
  <si>
    <t>fRHPZ Numerator</t>
  </si>
  <si>
    <t>fRHPZ Denominator</t>
  </si>
  <si>
    <t>fRHPZ / 5</t>
  </si>
  <si>
    <t>tResponse</t>
  </si>
  <si>
    <t>F</t>
  </si>
  <si>
    <t>Ripple using Ctrans</t>
  </si>
  <si>
    <t>Startup Resistor Calculator</t>
  </si>
  <si>
    <t>seconds</t>
  </si>
  <si>
    <t>Time from input is applied to VDD reaching the turn on threshold</t>
  </si>
  <si>
    <t>Minimum Recommended Output Capacitor Total Capacitance</t>
  </si>
  <si>
    <t>Istart</t>
  </si>
  <si>
    <t>Startup Resistor and Capacitor</t>
  </si>
  <si>
    <t>Ifault</t>
  </si>
  <si>
    <t>Minimum Rstart</t>
  </si>
  <si>
    <t>CVDD</t>
  </si>
  <si>
    <t>Time to Turn On at Minimum Input Voltage</t>
  </si>
  <si>
    <t>Ion</t>
  </si>
  <si>
    <t>CVDD2</t>
  </si>
  <si>
    <t>Vovershoot</t>
  </si>
  <si>
    <t>trise</t>
  </si>
  <si>
    <t>Ioff</t>
  </si>
  <si>
    <t>tdecay</t>
  </si>
  <si>
    <t>Recommended CVDD1</t>
  </si>
  <si>
    <t>Recommended Minimum RStart</t>
  </si>
  <si>
    <t>Recommended CVDD2</t>
  </si>
  <si>
    <t>Depends on loop response time for no load startup</t>
  </si>
  <si>
    <t>FLT Pin Calculations</t>
  </si>
  <si>
    <t>Brownout Calculations</t>
  </si>
  <si>
    <t>User Selected Top Brownout Resistor</t>
  </si>
  <si>
    <t>User Selected Bottom Brownout Resistor</t>
  </si>
  <si>
    <t>Calculated Brownout Voltage</t>
  </si>
  <si>
    <t>Calculated Brownin Voltage</t>
  </si>
  <si>
    <t>Vbo</t>
  </si>
  <si>
    <t>Vbi</t>
  </si>
  <si>
    <t>Ibo</t>
  </si>
  <si>
    <t>Calculated Brownin Voltage from Desired Brownout Voltage</t>
  </si>
  <si>
    <t>Calculated Top Resistor to Achieve Desired Brownout Voltage, with User Bottom Resistor</t>
  </si>
  <si>
    <t>Desired Brownout Voltage</t>
  </si>
  <si>
    <t>Intc</t>
  </si>
  <si>
    <t>Overtemp Calculations</t>
  </si>
  <si>
    <t>Thermistor Reference Temperature</t>
  </si>
  <si>
    <t>Thermistor Reference Resistance</t>
  </si>
  <si>
    <t>Celsius</t>
  </si>
  <si>
    <t>Thermistor Beta</t>
  </si>
  <si>
    <t>VTsd</t>
  </si>
  <si>
    <t>TSD Temp</t>
  </si>
  <si>
    <t>K</t>
  </si>
  <si>
    <t>Overtemperature Calculations</t>
  </si>
  <si>
    <t>Calculated Thermal Shutdown Temperature</t>
  </si>
  <si>
    <t>Calculated User Maximum Duty Cycle</t>
  </si>
  <si>
    <t>Calculated User Transformer Primary Inductance</t>
  </si>
  <si>
    <t>Calc User Lm</t>
  </si>
  <si>
    <t>Lm to use</t>
  </si>
  <si>
    <t>NS to use</t>
  </si>
  <si>
    <t>Duty Cycle to use</t>
  </si>
  <si>
    <t>Calculated Steady State VDD Voltage, No Forward Drop on Aux Diodes</t>
  </si>
  <si>
    <t>Bode Plot Calculations</t>
  </si>
  <si>
    <t>Bode Voltage Transfer Ratio, M</t>
  </si>
  <si>
    <t>Bode Switching Frequency, fsw</t>
  </si>
  <si>
    <t>Bode Duty Cyle, D</t>
  </si>
  <si>
    <t>Transformer Coil Ratio, NP/NS</t>
  </si>
  <si>
    <t>Time Constant, TauL</t>
  </si>
  <si>
    <t>Primary Side Current Slope, Sn</t>
  </si>
  <si>
    <t>Injected Slope, Se</t>
  </si>
  <si>
    <t>Small-signal Gain, Vrs/Vfb, GFb</t>
  </si>
  <si>
    <t>Rload</t>
  </si>
  <si>
    <t>CCM Transfer Function</t>
  </si>
  <si>
    <t>Go</t>
  </si>
  <si>
    <t>wp1</t>
  </si>
  <si>
    <t>wz1</t>
  </si>
  <si>
    <t>wz2</t>
  </si>
  <si>
    <t>omega</t>
  </si>
  <si>
    <t>Transfer Function</t>
  </si>
  <si>
    <t>Phase</t>
  </si>
  <si>
    <t>complex omega</t>
  </si>
  <si>
    <t>Transfer Function CCM (db)</t>
  </si>
  <si>
    <t>DCM Transfer Function</t>
  </si>
  <si>
    <t>wp2</t>
  </si>
  <si>
    <t>Output Capacitor ESR</t>
  </si>
  <si>
    <t>ccm wz1</t>
  </si>
  <si>
    <t>ccm wz2</t>
  </si>
  <si>
    <t>ccm wp1</t>
  </si>
  <si>
    <t>ccm Go</t>
  </si>
  <si>
    <t>Phase CCM</t>
  </si>
  <si>
    <t>dcm wp1</t>
  </si>
  <si>
    <t>dcm wz1</t>
  </si>
  <si>
    <t>dcm wz2</t>
  </si>
  <si>
    <t>dcm wp2</t>
  </si>
  <si>
    <t>dcm Go</t>
  </si>
  <si>
    <t>Transer Function (db)</t>
  </si>
  <si>
    <t>Phase DCM</t>
  </si>
  <si>
    <t>Compensator Transfer Function</t>
  </si>
  <si>
    <t>Optocoupler CTR</t>
  </si>
  <si>
    <t>FB Pullup Resistor</t>
  </si>
  <si>
    <t>RFb</t>
  </si>
  <si>
    <t>Ra</t>
  </si>
  <si>
    <t>Rb</t>
  </si>
  <si>
    <t>Rc3</t>
  </si>
  <si>
    <t>Cb</t>
  </si>
  <si>
    <t>Ca</t>
  </si>
  <si>
    <t>Tl431Ref</t>
  </si>
  <si>
    <t>Optocoupler Cathode Current</t>
  </si>
  <si>
    <t>Tl431I</t>
  </si>
  <si>
    <t>Parasistic + External Capacitance on Collector of Optotransistor</t>
  </si>
  <si>
    <t>wcz1</t>
  </si>
  <si>
    <t>wcp1</t>
  </si>
  <si>
    <t>comp wz1</t>
  </si>
  <si>
    <t>comp wp1</t>
  </si>
  <si>
    <t>Total Loop</t>
  </si>
  <si>
    <t>Transfer Function Comp(dB)</t>
  </si>
  <si>
    <t>Total Phase</t>
  </si>
  <si>
    <t>Total Crossover Freq</t>
  </si>
  <si>
    <t>Total Phase Margin</t>
  </si>
  <si>
    <t>degrees</t>
  </si>
  <si>
    <t>Freq</t>
  </si>
  <si>
    <t>Output Capacitor Total ESR</t>
  </si>
  <si>
    <t>Calculated Feedback Top Resistor</t>
  </si>
  <si>
    <t>Calculated Feedback Bottom Resistor</t>
  </si>
  <si>
    <t>Integrator Capacitor</t>
  </si>
  <si>
    <t>Used with UCC287501/3/5/7</t>
  </si>
  <si>
    <t>Used with UCC287502/4/6/8</t>
  </si>
  <si>
    <t>RHP Zero</t>
  </si>
  <si>
    <t>Loop Gain Calculations Full Load, Type 2 Compensator</t>
  </si>
  <si>
    <t>VAC</t>
  </si>
  <si>
    <t>Input Voltage for Bode Plot</t>
  </si>
  <si>
    <t>Maximum duty cycle of UCC28750X is 80%, choose a value lower to account for higher duty cycles during transient events.</t>
  </si>
  <si>
    <t>DutyMax</t>
  </si>
  <si>
    <t>n</t>
  </si>
  <si>
    <t>μ</t>
  </si>
  <si>
    <t>pico</t>
  </si>
  <si>
    <t>p</t>
  </si>
  <si>
    <t>G</t>
  </si>
  <si>
    <t>Tera</t>
  </si>
  <si>
    <t>Giga</t>
  </si>
  <si>
    <t>Mega</t>
  </si>
  <si>
    <t>kilo</t>
  </si>
  <si>
    <t>Peta</t>
  </si>
  <si>
    <t>Exa</t>
  </si>
  <si>
    <t>T</t>
  </si>
  <si>
    <t>P</t>
  </si>
  <si>
    <t>E</t>
  </si>
  <si>
    <t>femto</t>
  </si>
  <si>
    <t>f</t>
  </si>
  <si>
    <t>atto</t>
  </si>
  <si>
    <t>zepto</t>
  </si>
  <si>
    <t>a</t>
  </si>
  <si>
    <t>z</t>
  </si>
  <si>
    <t>Voltage Allowed For Leakage</t>
  </si>
  <si>
    <t>Calculated User Output Power</t>
  </si>
  <si>
    <t>BoRTop</t>
  </si>
  <si>
    <t>Ω</t>
  </si>
  <si>
    <t>kΩ</t>
  </si>
  <si>
    <t>MΩ</t>
  </si>
  <si>
    <t>Multiplied for Top</t>
  </si>
  <si>
    <t>Multiplied for Bot</t>
  </si>
  <si>
    <t>CS Resistor</t>
  </si>
  <si>
    <t>mΩ</t>
  </si>
  <si>
    <t>NTC</t>
  </si>
  <si>
    <t>BodeCaps</t>
  </si>
  <si>
    <t>μF</t>
  </si>
  <si>
    <t>nF</t>
  </si>
  <si>
    <t>pF</t>
  </si>
  <si>
    <t>Calculated Optocoupler Input Resistor</t>
  </si>
  <si>
    <t>TYPICAL APPLICATION DIAGRAM</t>
  </si>
  <si>
    <t>This product is designed as an aid for customers of Texas Instruments. No warranties, either expressed or implied, with respect to this software or its fitness for any particular purpose, are claimed by Texas Instruments or the author. The software is licensed solely on an "as is" basis. The entire risk as to its quality and performance is with the customer.</t>
  </si>
  <si>
    <t>η</t>
  </si>
  <si>
    <t>CTR</t>
  </si>
  <si>
    <t xml:space="preserve">Calculated Transformer Primary Inductance </t>
  </si>
  <si>
    <t>Calculated Input Bulk Capacitance</t>
  </si>
  <si>
    <t>Use greater than or equal to recommended</t>
  </si>
  <si>
    <t>Calculated Output Diode Blocking Voltage</t>
  </si>
  <si>
    <t>Switching Frequency</t>
  </si>
  <si>
    <t>65 kHz</t>
  </si>
  <si>
    <t>100 kHz</t>
  </si>
  <si>
    <t>DCM Status for Bode</t>
  </si>
  <si>
    <t>Include any other capacitance seen on the FB pin</t>
  </si>
  <si>
    <t>Device Variables</t>
  </si>
  <si>
    <t>Using Disable (VFLT &lt; 0.5 V) Feature?</t>
  </si>
  <si>
    <t>Idis</t>
  </si>
  <si>
    <t>Current Constraint</t>
  </si>
  <si>
    <t>Constraint is that maximum Vin/Rstart &lt; IStartConstaint</t>
  </si>
  <si>
    <t>β</t>
  </si>
  <si>
    <t>TSD Recovery Temp</t>
  </si>
  <si>
    <t>Calculated Thermal Recovery Temperature</t>
  </si>
  <si>
    <t>Optocoupler LED Forward Voltage</t>
  </si>
  <si>
    <t>Ioff is used because the controller is not switching during the overshoot time</t>
  </si>
  <si>
    <t>tdecay worst case</t>
  </si>
  <si>
    <t>load</t>
  </si>
  <si>
    <t>Final Voltage Left for Leakage</t>
  </si>
  <si>
    <t>VddOvlo</t>
  </si>
  <si>
    <t>Secondary Turns</t>
  </si>
  <si>
    <t>Np</t>
  </si>
  <si>
    <t>Calculated Primary to Secondary Turns Ratio</t>
  </si>
  <si>
    <t>CsMargin</t>
  </si>
  <si>
    <t>Feedback and Optocoupler Parasitic Capacitance</t>
  </si>
  <si>
    <r>
      <t>V</t>
    </r>
    <r>
      <rPr>
        <vertAlign val="subscript"/>
        <sz val="12"/>
        <color theme="1"/>
        <rFont val="Calibri"/>
        <family val="2"/>
        <scheme val="minor"/>
      </rPr>
      <t>IN,MIN</t>
    </r>
  </si>
  <si>
    <r>
      <t>V</t>
    </r>
    <r>
      <rPr>
        <vertAlign val="subscript"/>
        <sz val="12"/>
        <color theme="1"/>
        <rFont val="Calibri"/>
        <family val="2"/>
        <scheme val="minor"/>
      </rPr>
      <t>IN,MIN,BULK</t>
    </r>
  </si>
  <si>
    <r>
      <t>V</t>
    </r>
    <r>
      <rPr>
        <vertAlign val="subscript"/>
        <sz val="12"/>
        <color theme="1"/>
        <rFont val="Calibri"/>
        <family val="2"/>
        <scheme val="minor"/>
      </rPr>
      <t>IN,MAX</t>
    </r>
  </si>
  <si>
    <r>
      <t>V</t>
    </r>
    <r>
      <rPr>
        <vertAlign val="subscript"/>
        <sz val="12"/>
        <color theme="1"/>
        <rFont val="Calibri"/>
        <family val="2"/>
        <scheme val="minor"/>
      </rPr>
      <t>IN,NOM</t>
    </r>
  </si>
  <si>
    <r>
      <t>f</t>
    </r>
    <r>
      <rPr>
        <vertAlign val="subscript"/>
        <sz val="12"/>
        <color theme="1"/>
        <rFont val="Calibri"/>
        <family val="2"/>
        <scheme val="minor"/>
      </rPr>
      <t>LINE,MIN</t>
    </r>
  </si>
  <si>
    <r>
      <t>V</t>
    </r>
    <r>
      <rPr>
        <vertAlign val="subscript"/>
        <sz val="12"/>
        <color theme="1"/>
        <rFont val="Calibri"/>
        <family val="2"/>
        <scheme val="minor"/>
      </rPr>
      <t>MOS,DS</t>
    </r>
  </si>
  <si>
    <r>
      <t>V</t>
    </r>
    <r>
      <rPr>
        <vertAlign val="subscript"/>
        <sz val="12"/>
        <color theme="1"/>
        <rFont val="Calibri"/>
        <family val="2"/>
        <scheme val="minor"/>
      </rPr>
      <t>DS,DER%</t>
    </r>
  </si>
  <si>
    <r>
      <t>D</t>
    </r>
    <r>
      <rPr>
        <vertAlign val="subscript"/>
        <sz val="12"/>
        <color theme="1"/>
        <rFont val="Calibri"/>
        <family val="2"/>
        <scheme val="minor"/>
      </rPr>
      <t>MAX</t>
    </r>
  </si>
  <si>
    <r>
      <t>V</t>
    </r>
    <r>
      <rPr>
        <vertAlign val="subscript"/>
        <sz val="12"/>
        <color theme="1"/>
        <rFont val="Calibri"/>
        <family val="2"/>
        <scheme val="minor"/>
      </rPr>
      <t>OUT</t>
    </r>
  </si>
  <si>
    <r>
      <t>I</t>
    </r>
    <r>
      <rPr>
        <vertAlign val="subscript"/>
        <sz val="12"/>
        <color theme="1"/>
        <rFont val="Calibri"/>
        <family val="2"/>
        <scheme val="minor"/>
      </rPr>
      <t>OUT</t>
    </r>
  </si>
  <si>
    <r>
      <t>P</t>
    </r>
    <r>
      <rPr>
        <vertAlign val="subscript"/>
        <sz val="12"/>
        <color theme="1"/>
        <rFont val="Calibri"/>
        <family val="2"/>
        <scheme val="minor"/>
      </rPr>
      <t>OUT</t>
    </r>
  </si>
  <si>
    <r>
      <t>V</t>
    </r>
    <r>
      <rPr>
        <vertAlign val="subscript"/>
        <sz val="12"/>
        <color theme="1"/>
        <rFont val="Calibri"/>
        <family val="2"/>
        <scheme val="minor"/>
      </rPr>
      <t>DROP,%</t>
    </r>
  </si>
  <si>
    <r>
      <t>V</t>
    </r>
    <r>
      <rPr>
        <vertAlign val="subscript"/>
        <sz val="12"/>
        <color theme="1"/>
        <rFont val="Calibri"/>
        <family val="2"/>
        <scheme val="minor"/>
      </rPr>
      <t>RIP,%</t>
    </r>
  </si>
  <si>
    <r>
      <t>C</t>
    </r>
    <r>
      <rPr>
        <vertAlign val="subscript"/>
        <sz val="12"/>
        <color theme="1"/>
        <rFont val="Calibri"/>
        <family val="2"/>
        <scheme val="minor"/>
      </rPr>
      <t>IN</t>
    </r>
  </si>
  <si>
    <r>
      <t>K</t>
    </r>
    <r>
      <rPr>
        <vertAlign val="subscript"/>
        <sz val="12"/>
        <color theme="1"/>
        <rFont val="Calibri"/>
        <family val="2"/>
        <scheme val="minor"/>
      </rPr>
      <t>OUT,CCM%</t>
    </r>
  </si>
  <si>
    <r>
      <t>N</t>
    </r>
    <r>
      <rPr>
        <vertAlign val="subscript"/>
        <sz val="12"/>
        <color theme="1"/>
        <rFont val="Calibri"/>
        <family val="2"/>
        <scheme val="minor"/>
      </rPr>
      <t>P</t>
    </r>
    <r>
      <rPr>
        <sz val="12"/>
        <color theme="1"/>
        <rFont val="Calibri"/>
        <family val="2"/>
        <scheme val="minor"/>
      </rPr>
      <t>:N</t>
    </r>
    <r>
      <rPr>
        <vertAlign val="subscript"/>
        <sz val="12"/>
        <color theme="1"/>
        <rFont val="Calibri"/>
        <family val="2"/>
        <scheme val="minor"/>
      </rPr>
      <t>S</t>
    </r>
  </si>
  <si>
    <r>
      <t>N</t>
    </r>
    <r>
      <rPr>
        <vertAlign val="subscript"/>
        <sz val="12"/>
        <color theme="1"/>
        <rFont val="Calibri"/>
        <family val="2"/>
        <scheme val="minor"/>
      </rPr>
      <t>P</t>
    </r>
    <r>
      <rPr>
        <sz val="12"/>
        <color theme="1"/>
        <rFont val="Calibri"/>
        <family val="2"/>
        <scheme val="minor"/>
      </rPr>
      <t>/N</t>
    </r>
    <r>
      <rPr>
        <vertAlign val="subscript"/>
        <sz val="12"/>
        <color theme="1"/>
        <rFont val="Calibri"/>
        <family val="2"/>
        <scheme val="minor"/>
      </rPr>
      <t>S</t>
    </r>
  </si>
  <si>
    <r>
      <t>L</t>
    </r>
    <r>
      <rPr>
        <vertAlign val="subscript"/>
        <sz val="12"/>
        <color theme="1"/>
        <rFont val="Calibri"/>
        <family val="2"/>
        <scheme val="minor"/>
      </rPr>
      <t>M</t>
    </r>
  </si>
  <si>
    <r>
      <t>N</t>
    </r>
    <r>
      <rPr>
        <vertAlign val="subscript"/>
        <sz val="12"/>
        <color theme="1"/>
        <rFont val="Calibri"/>
        <family val="2"/>
        <scheme val="minor"/>
      </rPr>
      <t>S</t>
    </r>
    <r>
      <rPr>
        <sz val="12"/>
        <color theme="1"/>
        <rFont val="Calibri"/>
        <family val="2"/>
        <scheme val="minor"/>
      </rPr>
      <t>/N</t>
    </r>
    <r>
      <rPr>
        <vertAlign val="subscript"/>
        <sz val="12"/>
        <color theme="1"/>
        <rFont val="Calibri"/>
        <family val="2"/>
        <scheme val="minor"/>
      </rPr>
      <t>A</t>
    </r>
  </si>
  <si>
    <r>
      <t>N</t>
    </r>
    <r>
      <rPr>
        <vertAlign val="subscript"/>
        <sz val="12"/>
        <color theme="1"/>
        <rFont val="Calibri"/>
        <family val="2"/>
        <scheme val="minor"/>
      </rPr>
      <t>S</t>
    </r>
    <r>
      <rPr>
        <sz val="12"/>
        <color theme="1"/>
        <rFont val="Calibri"/>
        <family val="2"/>
        <scheme val="minor"/>
      </rPr>
      <t>:N</t>
    </r>
    <r>
      <rPr>
        <vertAlign val="subscript"/>
        <sz val="12"/>
        <color theme="1"/>
        <rFont val="Calibri"/>
        <family val="2"/>
        <scheme val="minor"/>
      </rPr>
      <t>A</t>
    </r>
  </si>
  <si>
    <r>
      <t>V</t>
    </r>
    <r>
      <rPr>
        <vertAlign val="subscript"/>
        <sz val="12"/>
        <color theme="1"/>
        <rFont val="Calibri"/>
        <family val="2"/>
        <scheme val="minor"/>
      </rPr>
      <t>AUX</t>
    </r>
  </si>
  <si>
    <r>
      <t>V</t>
    </r>
    <r>
      <rPr>
        <vertAlign val="subscript"/>
        <sz val="12"/>
        <color theme="1"/>
        <rFont val="Calibri"/>
        <family val="2"/>
        <scheme val="minor"/>
      </rPr>
      <t>LEAK,ALLOWED</t>
    </r>
  </si>
  <si>
    <r>
      <t>R</t>
    </r>
    <r>
      <rPr>
        <vertAlign val="subscript"/>
        <sz val="12"/>
        <color theme="1"/>
        <rFont val="Calibri"/>
        <family val="2"/>
        <scheme val="minor"/>
      </rPr>
      <t>CS</t>
    </r>
  </si>
  <si>
    <r>
      <t>R</t>
    </r>
    <r>
      <rPr>
        <vertAlign val="subscript"/>
        <sz val="12"/>
        <color theme="1"/>
        <rFont val="Calibri"/>
        <family val="2"/>
        <scheme val="minor"/>
      </rPr>
      <t>SLOPE</t>
    </r>
  </si>
  <si>
    <r>
      <t>V</t>
    </r>
    <r>
      <rPr>
        <vertAlign val="subscript"/>
        <sz val="12"/>
        <color theme="1"/>
        <rFont val="Calibri"/>
        <family val="2"/>
        <scheme val="minor"/>
      </rPr>
      <t>CS</t>
    </r>
  </si>
  <si>
    <r>
      <t>C</t>
    </r>
    <r>
      <rPr>
        <vertAlign val="subscript"/>
        <sz val="12"/>
        <color theme="1"/>
        <rFont val="Calibri"/>
        <family val="2"/>
        <scheme val="minor"/>
      </rPr>
      <t>OUT</t>
    </r>
  </si>
  <si>
    <r>
      <t>t</t>
    </r>
    <r>
      <rPr>
        <vertAlign val="subscript"/>
        <sz val="12"/>
        <color theme="1"/>
        <rFont val="Calibri"/>
        <family val="2"/>
        <scheme val="minor"/>
      </rPr>
      <t>START</t>
    </r>
  </si>
  <si>
    <r>
      <t>U</t>
    </r>
    <r>
      <rPr>
        <vertAlign val="subscript"/>
        <sz val="12"/>
        <color theme="1"/>
        <rFont val="Calibri"/>
        <family val="2"/>
        <scheme val="minor"/>
      </rPr>
      <t>DIS</t>
    </r>
  </si>
  <si>
    <r>
      <t>C</t>
    </r>
    <r>
      <rPr>
        <vertAlign val="subscript"/>
        <sz val="12"/>
        <color theme="1"/>
        <rFont val="Calibri"/>
        <family val="2"/>
        <scheme val="minor"/>
      </rPr>
      <t>VDD1</t>
    </r>
  </si>
  <si>
    <r>
      <t>C</t>
    </r>
    <r>
      <rPr>
        <vertAlign val="subscript"/>
        <sz val="12"/>
        <color theme="1"/>
        <rFont val="Calibri"/>
        <family val="2"/>
        <scheme val="minor"/>
      </rPr>
      <t>VDD2</t>
    </r>
  </si>
  <si>
    <r>
      <t>R</t>
    </r>
    <r>
      <rPr>
        <vertAlign val="subscript"/>
        <sz val="12"/>
        <color theme="1"/>
        <rFont val="Calibri"/>
        <family val="2"/>
        <scheme val="minor"/>
      </rPr>
      <t>START</t>
    </r>
  </si>
  <si>
    <r>
      <t>R</t>
    </r>
    <r>
      <rPr>
        <vertAlign val="subscript"/>
        <sz val="12"/>
        <color theme="1"/>
        <rFont val="Calibri"/>
        <family val="2"/>
        <scheme val="minor"/>
      </rPr>
      <t>BoTop</t>
    </r>
  </si>
  <si>
    <r>
      <t>R</t>
    </r>
    <r>
      <rPr>
        <vertAlign val="subscript"/>
        <sz val="12"/>
        <color theme="1"/>
        <rFont val="Calibri"/>
        <family val="2"/>
        <scheme val="minor"/>
      </rPr>
      <t>BoBot</t>
    </r>
  </si>
  <si>
    <r>
      <t>V</t>
    </r>
    <r>
      <rPr>
        <vertAlign val="subscript"/>
        <sz val="12"/>
        <color theme="1"/>
        <rFont val="Calibri"/>
        <family val="2"/>
        <scheme val="minor"/>
      </rPr>
      <t>Bo</t>
    </r>
  </si>
  <si>
    <r>
      <t>V</t>
    </r>
    <r>
      <rPr>
        <vertAlign val="subscript"/>
        <sz val="12"/>
        <color theme="1"/>
        <rFont val="Calibri"/>
        <family val="2"/>
        <scheme val="minor"/>
      </rPr>
      <t>Bi</t>
    </r>
  </si>
  <si>
    <r>
      <t>R</t>
    </r>
    <r>
      <rPr>
        <vertAlign val="subscript"/>
        <sz val="12"/>
        <color theme="1"/>
        <rFont val="Calibri"/>
        <family val="2"/>
        <scheme val="minor"/>
      </rPr>
      <t>NTC0</t>
    </r>
  </si>
  <si>
    <r>
      <t>T</t>
    </r>
    <r>
      <rPr>
        <vertAlign val="subscript"/>
        <sz val="12"/>
        <color theme="1"/>
        <rFont val="Calibri"/>
        <family val="2"/>
        <scheme val="minor"/>
      </rPr>
      <t>NTC0</t>
    </r>
  </si>
  <si>
    <r>
      <t>C</t>
    </r>
    <r>
      <rPr>
        <vertAlign val="subscript"/>
        <sz val="12"/>
        <color theme="1"/>
        <rFont val="Calibri"/>
        <family val="2"/>
        <scheme val="minor"/>
      </rPr>
      <t>TSD,NTC</t>
    </r>
  </si>
  <si>
    <r>
      <t>C</t>
    </r>
    <r>
      <rPr>
        <vertAlign val="subscript"/>
        <sz val="12"/>
        <color theme="1"/>
        <rFont val="Calibri"/>
        <family val="2"/>
        <scheme val="minor"/>
      </rPr>
      <t>REC,NTC</t>
    </r>
  </si>
  <si>
    <r>
      <t>V</t>
    </r>
    <r>
      <rPr>
        <vertAlign val="subscript"/>
        <sz val="12"/>
        <color theme="1"/>
        <rFont val="Calibri"/>
        <family val="2"/>
        <scheme val="minor"/>
      </rPr>
      <t>IN</t>
    </r>
  </si>
  <si>
    <r>
      <t>R</t>
    </r>
    <r>
      <rPr>
        <vertAlign val="subscript"/>
        <sz val="12"/>
        <color theme="1"/>
        <rFont val="Calibri"/>
        <family val="2"/>
        <scheme val="minor"/>
      </rPr>
      <t>ESR</t>
    </r>
  </si>
  <si>
    <r>
      <t>V</t>
    </r>
    <r>
      <rPr>
        <vertAlign val="subscript"/>
        <sz val="12"/>
        <color theme="1"/>
        <rFont val="Calibri"/>
        <family val="2"/>
        <scheme val="minor"/>
      </rPr>
      <t>LED</t>
    </r>
  </si>
  <si>
    <r>
      <t>C</t>
    </r>
    <r>
      <rPr>
        <vertAlign val="subscript"/>
        <sz val="12"/>
        <color theme="1"/>
        <rFont val="Calibri"/>
        <family val="2"/>
        <scheme val="minor"/>
      </rPr>
      <t>FB</t>
    </r>
  </si>
  <si>
    <r>
      <t>C</t>
    </r>
    <r>
      <rPr>
        <vertAlign val="subscript"/>
        <sz val="12"/>
        <color theme="1"/>
        <rFont val="Calibri"/>
        <family val="2"/>
        <scheme val="minor"/>
      </rPr>
      <t>INT</t>
    </r>
  </si>
  <si>
    <r>
      <t>R</t>
    </r>
    <r>
      <rPr>
        <vertAlign val="subscript"/>
        <sz val="12"/>
        <color theme="1"/>
        <rFont val="Calibri"/>
        <family val="2"/>
        <scheme val="minor"/>
      </rPr>
      <t>LED</t>
    </r>
  </si>
  <si>
    <t>°C</t>
  </si>
  <si>
    <r>
      <t>R</t>
    </r>
    <r>
      <rPr>
        <vertAlign val="subscript"/>
        <sz val="12"/>
        <color theme="1"/>
        <rFont val="Calibri"/>
        <family val="2"/>
        <scheme val="minor"/>
      </rPr>
      <t>FBtop</t>
    </r>
  </si>
  <si>
    <r>
      <t>R</t>
    </r>
    <r>
      <rPr>
        <vertAlign val="subscript"/>
        <sz val="12"/>
        <color theme="1"/>
        <rFont val="Calibri"/>
        <family val="2"/>
        <scheme val="minor"/>
      </rPr>
      <t>FBbot</t>
    </r>
  </si>
  <si>
    <t>UCC28750-CALC</t>
  </si>
  <si>
    <r>
      <t>V</t>
    </r>
    <r>
      <rPr>
        <vertAlign val="subscript"/>
        <sz val="12"/>
        <color theme="1"/>
        <rFont val="Calibri"/>
        <family val="2"/>
        <scheme val="minor"/>
      </rPr>
      <t>DF</t>
    </r>
  </si>
  <si>
    <t>Use 100% for purely DCM Flyback</t>
  </si>
  <si>
    <t>This slope compensation resistor is for stability from subharmonic oscillation. Lower values on the slope compensation resistor can be used to bring up the current sense resistor value, but the subharmonic oscillation will take longer than one cycle to stabilize.</t>
  </si>
  <si>
    <t>Use greater than or equal to recommended in design.</t>
  </si>
  <si>
    <t>Primary Peak Current</t>
  </si>
  <si>
    <r>
      <t>I</t>
    </r>
    <r>
      <rPr>
        <vertAlign val="subscript"/>
        <sz val="12"/>
        <color theme="1"/>
        <rFont val="Calibri"/>
        <family val="2"/>
        <scheme val="minor"/>
      </rPr>
      <t>pk</t>
    </r>
  </si>
  <si>
    <t>Ipri,rms</t>
  </si>
  <si>
    <t>Calculated Estimate Input Power</t>
  </si>
  <si>
    <t>Estimated Input Power</t>
  </si>
  <si>
    <r>
      <t>P</t>
    </r>
    <r>
      <rPr>
        <vertAlign val="subscript"/>
        <sz val="12"/>
        <color theme="1"/>
        <rFont val="Calibri"/>
        <family val="2"/>
        <scheme val="minor"/>
      </rPr>
      <t>IN</t>
    </r>
  </si>
  <si>
    <t>W</t>
  </si>
  <si>
    <t>Imean</t>
  </si>
  <si>
    <t>Primary Mean Current</t>
  </si>
  <si>
    <r>
      <t>I</t>
    </r>
    <r>
      <rPr>
        <vertAlign val="subscript"/>
        <sz val="12"/>
        <color theme="1"/>
        <rFont val="Calibri"/>
        <family val="2"/>
        <scheme val="minor"/>
      </rPr>
      <t>mean</t>
    </r>
  </si>
  <si>
    <t>Rework for Rslope by fixing CalcRs</t>
  </si>
  <si>
    <r>
      <t>V</t>
    </r>
    <r>
      <rPr>
        <vertAlign val="subscript"/>
        <sz val="12"/>
        <color theme="1"/>
        <rFont val="Calibri"/>
        <family val="2"/>
        <scheme val="minor"/>
      </rPr>
      <t>DBLOCK</t>
    </r>
  </si>
  <si>
    <t>Revision</t>
  </si>
  <si>
    <t>Update</t>
  </si>
  <si>
    <t>Date</t>
  </si>
  <si>
    <t>1.0.0</t>
  </si>
  <si>
    <t>Initial release</t>
  </si>
  <si>
    <t>Important Notice and Disclaimer</t>
  </si>
  <si>
    <t>TI PROVIDES TECHNICAL AND RELIABILITY DATA (INCLUDING DATASHEETS), DESIGN RESOURCES (INCLUDING REFERENCE DESIGNS), APPLICATION OR OTHER DESIGN ADVICE, WEB TOOLS, SAFETY INFORMATION, AND OTHER RESOURCES “AS IS” AND WITH ALL FAULTS, AND DISCLAIMS ALL WARRANTIES, EXPRESS AND IMPLIED, INCLUDING WITHOUT LIMITATION ANY IMPLIED WARRANTIES OF MERCHANTABILITY, FITNESS FOR A PARTICULAR PURPOSE OR NON-INFRINGEMENT OF THIRD PARTY INTELLECTUAL PROPERTY RIGHTS.</t>
  </si>
  <si>
    <t>These resources are intended for skilled developers designing with TI products. You are solely responsible for (1) selecting the appropriate TI products for your application, (2) designing, validating and testing your application, and (3) ensuring your application meets applicable standards, and any other safety, security, regulatory or other requirements.</t>
  </si>
  <si>
    <t>These resources are subject to change without notice. TI grants you permission to use these resources only for development of an application that uses the TI products described in the resource. Other reproduction and display of these resources is prohibited. No license is granted to any other TI intellectual property right or to any third party intellectual property right. TI disclaims responsibility for, and you will fully indemnify TI and its representatives against, any claims, damages, costs, losses, and liabilities arising out of your use of these resources.</t>
  </si>
  <si>
    <t>TI’s products are provided subject to TI’s Terms of Sale or other applicable terms available either on ti.com or provided in conjunction with such TI products. TI’s provision of these resources does not expand or otherwise alter TI’s applicable warranties or warranty disclaimers for TI products.  </t>
  </si>
  <si>
    <t>TI objects to and rejects any additional or different terms you may have proposed.  </t>
  </si>
  <si>
    <t>UCC28750 Design Calculator Tool</t>
  </si>
  <si>
    <t>UCC28750 Current-Mode Flyback Controller with Secondary-Side Regulation (SSR) 
for Off-Line Applications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</si>
</sst>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2"/>
      <color theme="1"/>
      <name val="Calibri"/>
      <family val="2"/>
      <scheme val="minor"/>
    </font>
    <font>
      <sz val="26"/>
      <color theme="1"/>
      <name val="Segoe UI"/>
      <family val="2"/>
    </font>
    <font>
      <sz val="11"/>
      <color theme="1"/>
      <name val="Segoe UI"/>
      <family val="2"/>
    </font>
    <font>
      <sz val="11"/>
      <color theme="1"/>
      <name val="Arial"/>
      <family val="2"/>
    </font>
    <font>
      <b/>
      <sz val="12"/>
      <name val="Segoe UI"/>
      <family val="2"/>
    </font>
    <font>
      <b/>
      <sz val="16"/>
      <color theme="1"/>
      <name val="Segoe UI"/>
      <family val="2"/>
    </font>
    <font>
      <b/>
      <sz val="14"/>
      <color rgb="FFFF0000"/>
      <name val="Segoe UI"/>
      <family val="2"/>
    </font>
    <font>
      <b/>
      <sz val="14"/>
      <color theme="1"/>
      <name val="Segoe UI"/>
      <family val="2"/>
    </font>
    <font>
      <sz val="11"/>
      <name val="Segoe UI"/>
      <family val="2"/>
    </font>
    <font>
      <b/>
      <i/>
      <sz val="16"/>
      <color theme="0"/>
      <name val="Segoe UI"/>
      <family val="2"/>
    </font>
    <font>
      <b/>
      <sz val="11"/>
      <color theme="0"/>
      <name val="Segoe UI"/>
      <family val="2"/>
    </font>
    <font>
      <sz val="11"/>
      <color rgb="FF3F3F76"/>
      <name val="Calibri"/>
      <family val="2"/>
      <scheme val="minor"/>
    </font>
    <font>
      <b/>
      <sz val="14"/>
      <color rgb="FFFFCC99"/>
      <name val="Segoe UI"/>
      <family val="2"/>
    </font>
    <font>
      <b/>
      <sz val="11"/>
      <color rgb="FFFA7D00"/>
      <name val="Calibri"/>
      <family val="2"/>
      <scheme val="minor"/>
    </font>
    <font>
      <b/>
      <sz val="11"/>
      <color rgb="FF3F3F3F"/>
      <name val="Calibri"/>
      <family val="2"/>
      <scheme val="minor"/>
    </font>
    <font>
      <sz val="12"/>
      <color theme="1"/>
      <name val="Calibri"/>
      <family val="2"/>
      <scheme val="minor"/>
    </font>
    <font>
      <sz val="12"/>
      <color theme="1"/>
      <name val="Segoe UI"/>
      <family val="2"/>
    </font>
    <font>
      <vertAlign val="subscript"/>
      <sz val="12"/>
      <color theme="1"/>
      <name val="Calibri"/>
      <family val="2"/>
      <scheme val="minor"/>
    </font>
    <font>
      <sz val="12"/>
      <color theme="1"/>
      <name val="Calibri"/>
      <family val="2"/>
    </font>
    <font>
      <b/>
      <sz val="12"/>
      <color theme="0"/>
      <name val="Segoe UI"/>
      <family val="2"/>
    </font>
    <font>
      <sz val="12"/>
      <color rgb="FF3F3F76"/>
      <name val="Calibri"/>
      <family val="2"/>
      <scheme val="minor"/>
    </font>
    <font>
      <b/>
      <sz val="12"/>
      <color rgb="FF3F3F3F"/>
      <name val="Calibri"/>
      <family val="2"/>
      <scheme val="minor"/>
    </font>
    <font>
      <b/>
      <sz val="14"/>
      <color theme="0"/>
      <name val="Calibri"/>
      <family val="2"/>
      <scheme val="minor"/>
    </font>
    <font>
      <b/>
      <sz val="15"/>
      <color theme="3"/>
      <name val="Calibri"/>
      <family val="2"/>
      <scheme val="minor"/>
    </font>
    <font>
      <u/>
      <sz val="11"/>
      <color theme="10"/>
      <name val="Calibri"/>
      <family val="2"/>
      <scheme val="minor"/>
    </font>
    <font>
      <sz val="10"/>
      <color rgb="FF555555"/>
      <name val="Arial"/>
      <family val="2"/>
    </font>
    <font>
      <u/>
      <sz val="10"/>
      <color theme="1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CC99"/>
      </patternFill>
    </fill>
    <fill>
      <patternFill patternType="solid">
        <fgColor rgb="FFF2F2F2"/>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bottom style="thick">
        <color theme="4"/>
      </bottom>
      <diagonal/>
    </border>
  </borders>
  <cellStyleXfs count="6">
    <xf numFmtId="0" fontId="0" fillId="0" borderId="0"/>
    <xf numFmtId="0" fontId="12" fillId="4" borderId="12" applyNumberFormat="0" applyAlignment="0" applyProtection="0"/>
    <xf numFmtId="0" fontId="14" fillId="5" borderId="12" applyNumberFormat="0" applyAlignment="0" applyProtection="0"/>
    <xf numFmtId="0" fontId="15" fillId="5" borderId="15" applyNumberFormat="0" applyAlignment="0" applyProtection="0"/>
    <xf numFmtId="0" fontId="24" fillId="0" borderId="17" applyNumberFormat="0" applyFill="0" applyAlignment="0" applyProtection="0"/>
    <xf numFmtId="0" fontId="25" fillId="0" borderId="0" applyNumberFormat="0" applyFill="0" applyBorder="0" applyAlignment="0" applyProtection="0"/>
  </cellStyleXfs>
  <cellXfs count="67">
    <xf numFmtId="0" fontId="0" fillId="0" borderId="0" xfId="0"/>
    <xf numFmtId="0" fontId="3" fillId="0" borderId="0" xfId="0" applyFont="1"/>
    <xf numFmtId="0" fontId="2" fillId="0" borderId="0" xfId="0" applyFont="1"/>
    <xf numFmtId="11" fontId="0" fillId="0" borderId="0" xfId="0" applyNumberFormat="1"/>
    <xf numFmtId="0" fontId="0" fillId="0" borderId="2" xfId="0" applyBorder="1" applyAlignment="1">
      <alignment wrapText="1"/>
    </xf>
    <xf numFmtId="0" fontId="0" fillId="0" borderId="0" xfId="0" applyAlignment="1">
      <alignment wrapText="1"/>
    </xf>
    <xf numFmtId="0" fontId="14" fillId="5" borderId="12" xfId="2"/>
    <xf numFmtId="0" fontId="16" fillId="0" borderId="0" xfId="0" applyFont="1"/>
    <xf numFmtId="0" fontId="17" fillId="0" borderId="0" xfId="0" applyFont="1"/>
    <xf numFmtId="0" fontId="19" fillId="0" borderId="0" xfId="0" applyFont="1"/>
    <xf numFmtId="0" fontId="16" fillId="0" borderId="0" xfId="0" applyFont="1" applyAlignment="1">
      <alignment wrapText="1"/>
    </xf>
    <xf numFmtId="0" fontId="20" fillId="3" borderId="9" xfId="0" applyFont="1" applyFill="1" applyBorder="1"/>
    <xf numFmtId="0" fontId="20" fillId="3" borderId="13" xfId="0" applyFont="1" applyFill="1" applyBorder="1"/>
    <xf numFmtId="0" fontId="17" fillId="0" borderId="0" xfId="0" applyFont="1" applyAlignment="1">
      <alignment horizontal="right"/>
    </xf>
    <xf numFmtId="0" fontId="22" fillId="5" borderId="15" xfId="3" applyFont="1"/>
    <xf numFmtId="0" fontId="22" fillId="5" borderId="15" xfId="3" applyFont="1" applyAlignment="1">
      <alignment horizontal="center" vertical="center"/>
    </xf>
    <xf numFmtId="0" fontId="22" fillId="5" borderId="15" xfId="3" applyFont="1" applyAlignment="1">
      <alignment horizontal="right"/>
    </xf>
    <xf numFmtId="0" fontId="22" fillId="5" borderId="15" xfId="3" applyFont="1" applyProtection="1">
      <protection locked="0"/>
    </xf>
    <xf numFmtId="0" fontId="16" fillId="0" borderId="2" xfId="0" applyFont="1" applyBorder="1" applyAlignment="1">
      <alignment wrapText="1"/>
    </xf>
    <xf numFmtId="0" fontId="17" fillId="0" borderId="0" xfId="0" applyFont="1" applyAlignment="1">
      <alignment wrapText="1"/>
    </xf>
    <xf numFmtId="0" fontId="23" fillId="3" borderId="16" xfId="0" applyFont="1" applyFill="1" applyBorder="1"/>
    <xf numFmtId="0" fontId="23" fillId="3" borderId="16" xfId="0" applyFont="1" applyFill="1" applyBorder="1" applyAlignment="1">
      <alignment wrapText="1"/>
    </xf>
    <xf numFmtId="15" fontId="0" fillId="0" borderId="0" xfId="0" applyNumberFormat="1"/>
    <xf numFmtId="0" fontId="21" fillId="4" borderId="12" xfId="1" applyFont="1" applyAlignment="1" applyProtection="1">
      <alignment horizontal="left" wrapText="1"/>
      <protection locked="0"/>
    </xf>
    <xf numFmtId="0" fontId="21" fillId="4" borderId="12" xfId="1" applyFont="1" applyAlignment="1" applyProtection="1">
      <alignment wrapText="1"/>
      <protection locked="0"/>
    </xf>
    <xf numFmtId="0" fontId="21" fillId="4" borderId="12" xfId="1" applyFont="1" applyProtection="1">
      <protection locked="0"/>
    </xf>
    <xf numFmtId="0" fontId="21" fillId="4" borderId="12" xfId="1" applyNumberFormat="1" applyFont="1" applyProtection="1">
      <protection locked="0"/>
    </xf>
    <xf numFmtId="0" fontId="21" fillId="4" borderId="14" xfId="1" applyNumberFormat="1" applyFont="1" applyBorder="1" applyProtection="1">
      <protection locked="0"/>
    </xf>
    <xf numFmtId="0" fontId="24" fillId="0" borderId="17" xfId="4" applyAlignment="1">
      <alignment vertical="center" wrapText="1"/>
    </xf>
    <xf numFmtId="0" fontId="26" fillId="0" borderId="0" xfId="0" applyFont="1" applyAlignment="1">
      <alignment vertical="center" wrapText="1"/>
    </xf>
    <xf numFmtId="0" fontId="27" fillId="0" borderId="0" xfId="5" applyFont="1" applyAlignment="1">
      <alignment vertical="center" wrapText="1"/>
    </xf>
    <xf numFmtId="0" fontId="26" fillId="0" borderId="0" xfId="0" applyFont="1" applyAlignment="1">
      <alignment wrapText="1"/>
    </xf>
    <xf numFmtId="0" fontId="11" fillId="3" borderId="9" xfId="0" applyFont="1" applyFill="1" applyBorder="1"/>
    <xf numFmtId="0" fontId="11" fillId="3" borderId="10" xfId="0" applyFont="1" applyFill="1" applyBorder="1"/>
    <xf numFmtId="0" fontId="11" fillId="3" borderId="11" xfId="0" applyFont="1" applyFill="1" applyBorder="1"/>
    <xf numFmtId="0" fontId="20" fillId="3" borderId="9" xfId="0" applyFont="1" applyFill="1" applyBorder="1"/>
    <xf numFmtId="0" fontId="20" fillId="3" borderId="10" xfId="0" applyFont="1" applyFill="1" applyBorder="1"/>
    <xf numFmtId="0" fontId="20" fillId="3" borderId="11" xfId="0" applyFont="1" applyFill="1" applyBorder="1"/>
    <xf numFmtId="0" fontId="2" fillId="0" borderId="0" xfId="0" applyFont="1" applyAlignment="1">
      <alignment horizontal="center"/>
    </xf>
    <xf numFmtId="0" fontId="0" fillId="0" borderId="0" xfId="0" applyAlignment="1">
      <alignment horizontal="center" vertical="center"/>
    </xf>
    <xf numFmtId="0" fontId="5" fillId="2" borderId="1"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0" xfId="0" applyFont="1" applyFill="1" applyAlignment="1">
      <alignment horizontal="center" vertical="center"/>
    </xf>
    <xf numFmtId="0" fontId="7"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xf>
  </cellXfs>
  <cellStyles count="6">
    <cellStyle name="Calculation" xfId="2" builtinId="22"/>
    <cellStyle name="Heading 1" xfId="4" builtinId="16"/>
    <cellStyle name="Hyperlink" xfId="5" builtinId="8"/>
    <cellStyle name="Input" xfId="1" builtinId="20"/>
    <cellStyle name="Normal" xfId="0" builtinId="0"/>
    <cellStyle name="Output" xfId="3" builtinId="21"/>
  </cellStyles>
  <dxfs count="0"/>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Loop Gain and Phase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v>Loop Gain (dB)</c:v>
          </c:tx>
          <c:spPr>
            <a:ln w="19050" cap="rnd" cmpd="sng" algn="ctr">
              <a:solidFill>
                <a:schemeClr val="tx1"/>
              </a:solidFill>
              <a:prstDash val="solid"/>
              <a:round/>
            </a:ln>
            <a:effectLst/>
          </c:spPr>
          <c:marker>
            <c:symbol val="none"/>
          </c:marker>
          <c:xVal>
            <c:numRef>
              <c:f>'Loop Gain'!$Z$2:$Z$381</c:f>
              <c:numCache>
                <c:formatCode>General</c:formatCode>
                <c:ptCount val="380"/>
                <c:pt idx="0">
                  <c:v>0.15915494309189535</c:v>
                </c:pt>
                <c:pt idx="1">
                  <c:v>1.5915494309189535</c:v>
                </c:pt>
                <c:pt idx="2">
                  <c:v>3.183098861837907</c:v>
                </c:pt>
                <c:pt idx="3">
                  <c:v>4.7746482927568605</c:v>
                </c:pt>
                <c:pt idx="4">
                  <c:v>6.366197723675814</c:v>
                </c:pt>
                <c:pt idx="5">
                  <c:v>7.9577471545947667</c:v>
                </c:pt>
                <c:pt idx="6">
                  <c:v>9.5492965855137211</c:v>
                </c:pt>
                <c:pt idx="7">
                  <c:v>11.140846016432674</c:v>
                </c:pt>
                <c:pt idx="8">
                  <c:v>12.732395447351628</c:v>
                </c:pt>
                <c:pt idx="9">
                  <c:v>14.323944878270581</c:v>
                </c:pt>
                <c:pt idx="10">
                  <c:v>15.915494309189533</c:v>
                </c:pt>
                <c:pt idx="11">
                  <c:v>31.830988618379067</c:v>
                </c:pt>
                <c:pt idx="12">
                  <c:v>47.7464829275686</c:v>
                </c:pt>
                <c:pt idx="13">
                  <c:v>63.661977236758133</c:v>
                </c:pt>
                <c:pt idx="14">
                  <c:v>79.577471545947674</c:v>
                </c:pt>
                <c:pt idx="15">
                  <c:v>95.4929658551372</c:v>
                </c:pt>
                <c:pt idx="16">
                  <c:v>111.40846016432674</c:v>
                </c:pt>
                <c:pt idx="17">
                  <c:v>127.32395447351627</c:v>
                </c:pt>
                <c:pt idx="18">
                  <c:v>143.23944878270581</c:v>
                </c:pt>
                <c:pt idx="19">
                  <c:v>159.15494309189535</c:v>
                </c:pt>
                <c:pt idx="20">
                  <c:v>175.07043740108489</c:v>
                </c:pt>
                <c:pt idx="21">
                  <c:v>190.9859317102744</c:v>
                </c:pt>
                <c:pt idx="22">
                  <c:v>206.90142601946394</c:v>
                </c:pt>
                <c:pt idx="23">
                  <c:v>222.81692032865348</c:v>
                </c:pt>
                <c:pt idx="24">
                  <c:v>238.73241463784302</c:v>
                </c:pt>
                <c:pt idx="25">
                  <c:v>254.64790894703253</c:v>
                </c:pt>
                <c:pt idx="26">
                  <c:v>270.5634032562221</c:v>
                </c:pt>
                <c:pt idx="27">
                  <c:v>286.47889756541161</c:v>
                </c:pt>
                <c:pt idx="28">
                  <c:v>302.39439187460113</c:v>
                </c:pt>
                <c:pt idx="29">
                  <c:v>318.3098861837907</c:v>
                </c:pt>
                <c:pt idx="30">
                  <c:v>334.22538049298021</c:v>
                </c:pt>
                <c:pt idx="31">
                  <c:v>350.14087480216978</c:v>
                </c:pt>
                <c:pt idx="32">
                  <c:v>366.05636911135929</c:v>
                </c:pt>
                <c:pt idx="33">
                  <c:v>381.9718634205488</c:v>
                </c:pt>
                <c:pt idx="34">
                  <c:v>397.88735772973837</c:v>
                </c:pt>
                <c:pt idx="35">
                  <c:v>413.80285203892788</c:v>
                </c:pt>
                <c:pt idx="36">
                  <c:v>429.71834634811745</c:v>
                </c:pt>
                <c:pt idx="37">
                  <c:v>445.63384065730696</c:v>
                </c:pt>
                <c:pt idx="38">
                  <c:v>461.54933496649647</c:v>
                </c:pt>
                <c:pt idx="39">
                  <c:v>477.46482927568604</c:v>
                </c:pt>
                <c:pt idx="40">
                  <c:v>493.38032358487555</c:v>
                </c:pt>
                <c:pt idx="41">
                  <c:v>509.29581789406507</c:v>
                </c:pt>
                <c:pt idx="42">
                  <c:v>525.21131220325458</c:v>
                </c:pt>
                <c:pt idx="43">
                  <c:v>541.1268065124442</c:v>
                </c:pt>
                <c:pt idx="44">
                  <c:v>557.04230082163372</c:v>
                </c:pt>
                <c:pt idx="45">
                  <c:v>572.95779513082323</c:v>
                </c:pt>
                <c:pt idx="46">
                  <c:v>588.87328944001274</c:v>
                </c:pt>
                <c:pt idx="47">
                  <c:v>604.78878374920225</c:v>
                </c:pt>
                <c:pt idx="48">
                  <c:v>620.70427805839188</c:v>
                </c:pt>
                <c:pt idx="49">
                  <c:v>636.61977236758139</c:v>
                </c:pt>
                <c:pt idx="50">
                  <c:v>652.5352666767709</c:v>
                </c:pt>
                <c:pt idx="51">
                  <c:v>668.45076098596041</c:v>
                </c:pt>
                <c:pt idx="52">
                  <c:v>684.36625529514993</c:v>
                </c:pt>
                <c:pt idx="53">
                  <c:v>700.28174960433955</c:v>
                </c:pt>
                <c:pt idx="54">
                  <c:v>716.19724391352906</c:v>
                </c:pt>
                <c:pt idx="55">
                  <c:v>732.11273822271858</c:v>
                </c:pt>
                <c:pt idx="56">
                  <c:v>748.02823253190809</c:v>
                </c:pt>
                <c:pt idx="57">
                  <c:v>763.9437268410976</c:v>
                </c:pt>
                <c:pt idx="58">
                  <c:v>779.85922115028723</c:v>
                </c:pt>
                <c:pt idx="59">
                  <c:v>795.77471545947674</c:v>
                </c:pt>
                <c:pt idx="60">
                  <c:v>811.69020976866625</c:v>
                </c:pt>
                <c:pt idx="61">
                  <c:v>827.60570407785576</c:v>
                </c:pt>
                <c:pt idx="62">
                  <c:v>843.52119838704527</c:v>
                </c:pt>
                <c:pt idx="63">
                  <c:v>859.4366926962349</c:v>
                </c:pt>
                <c:pt idx="64">
                  <c:v>875.35218700542441</c:v>
                </c:pt>
                <c:pt idx="65">
                  <c:v>891.26768131461392</c:v>
                </c:pt>
                <c:pt idx="66">
                  <c:v>907.18317562380344</c:v>
                </c:pt>
                <c:pt idx="67">
                  <c:v>923.09866993299295</c:v>
                </c:pt>
                <c:pt idx="68">
                  <c:v>939.01416424218257</c:v>
                </c:pt>
                <c:pt idx="69">
                  <c:v>954.92965855137209</c:v>
                </c:pt>
                <c:pt idx="70">
                  <c:v>970.8451528605616</c:v>
                </c:pt>
                <c:pt idx="71">
                  <c:v>986.76064716975111</c:v>
                </c:pt>
                <c:pt idx="72">
                  <c:v>1002.6761414789406</c:v>
                </c:pt>
                <c:pt idx="73">
                  <c:v>1018.5916357881301</c:v>
                </c:pt>
                <c:pt idx="74">
                  <c:v>1034.5071300973198</c:v>
                </c:pt>
                <c:pt idx="75">
                  <c:v>1050.4226244065092</c:v>
                </c:pt>
                <c:pt idx="76">
                  <c:v>1066.3381187156988</c:v>
                </c:pt>
                <c:pt idx="77">
                  <c:v>1082.2536130248884</c:v>
                </c:pt>
                <c:pt idx="78">
                  <c:v>1098.1691073340778</c:v>
                </c:pt>
                <c:pt idx="79">
                  <c:v>1114.0846016432674</c:v>
                </c:pt>
                <c:pt idx="80">
                  <c:v>1130.0000959524568</c:v>
                </c:pt>
                <c:pt idx="81">
                  <c:v>1145.9155902616465</c:v>
                </c:pt>
                <c:pt idx="82">
                  <c:v>1161.8310845708361</c:v>
                </c:pt>
                <c:pt idx="83">
                  <c:v>1177.7465788800255</c:v>
                </c:pt>
                <c:pt idx="84">
                  <c:v>1193.6620731892151</c:v>
                </c:pt>
                <c:pt idx="85">
                  <c:v>1209.5775674984045</c:v>
                </c:pt>
                <c:pt idx="86">
                  <c:v>1225.4930618075941</c:v>
                </c:pt>
                <c:pt idx="87">
                  <c:v>1241.4085561167838</c:v>
                </c:pt>
                <c:pt idx="88">
                  <c:v>1257.3240504259732</c:v>
                </c:pt>
                <c:pt idx="89">
                  <c:v>1273.2395447351628</c:v>
                </c:pt>
                <c:pt idx="90">
                  <c:v>1289.1550390443522</c:v>
                </c:pt>
                <c:pt idx="91">
                  <c:v>1305.0705333535418</c:v>
                </c:pt>
                <c:pt idx="92">
                  <c:v>1320.9860276627314</c:v>
                </c:pt>
                <c:pt idx="93">
                  <c:v>1336.9015219719208</c:v>
                </c:pt>
                <c:pt idx="94">
                  <c:v>1352.8170162811105</c:v>
                </c:pt>
                <c:pt idx="95">
                  <c:v>1368.7325105902999</c:v>
                </c:pt>
                <c:pt idx="96">
                  <c:v>1384.6480048994895</c:v>
                </c:pt>
                <c:pt idx="97">
                  <c:v>1400.5634992086791</c:v>
                </c:pt>
                <c:pt idx="98">
                  <c:v>1416.4789935178685</c:v>
                </c:pt>
                <c:pt idx="99">
                  <c:v>1432.3944878270581</c:v>
                </c:pt>
                <c:pt idx="100">
                  <c:v>1448.3099821362475</c:v>
                </c:pt>
                <c:pt idx="101">
                  <c:v>1464.2254764454372</c:v>
                </c:pt>
                <c:pt idx="102">
                  <c:v>1480.1409707546268</c:v>
                </c:pt>
                <c:pt idx="103">
                  <c:v>1496.0564650638162</c:v>
                </c:pt>
                <c:pt idx="104">
                  <c:v>1511.9719593730058</c:v>
                </c:pt>
                <c:pt idx="105">
                  <c:v>1527.8874536821952</c:v>
                </c:pt>
                <c:pt idx="106">
                  <c:v>1543.8029479913848</c:v>
                </c:pt>
                <c:pt idx="107">
                  <c:v>1559.7184423005745</c:v>
                </c:pt>
                <c:pt idx="108">
                  <c:v>1575.6339366097639</c:v>
                </c:pt>
                <c:pt idx="109">
                  <c:v>1591.5494309189535</c:v>
                </c:pt>
                <c:pt idx="110">
                  <c:v>1750.7043740108488</c:v>
                </c:pt>
                <c:pt idx="111">
                  <c:v>1909.8593171027442</c:v>
                </c:pt>
                <c:pt idx="112">
                  <c:v>2069.0142601946395</c:v>
                </c:pt>
                <c:pt idx="113">
                  <c:v>2228.1692032865349</c:v>
                </c:pt>
                <c:pt idx="114">
                  <c:v>2387.3241463784302</c:v>
                </c:pt>
                <c:pt idx="115">
                  <c:v>2546.4790894703256</c:v>
                </c:pt>
                <c:pt idx="116">
                  <c:v>2705.6340325622209</c:v>
                </c:pt>
                <c:pt idx="117">
                  <c:v>2864.7889756541163</c:v>
                </c:pt>
                <c:pt idx="118">
                  <c:v>3023.9439187460116</c:v>
                </c:pt>
                <c:pt idx="119">
                  <c:v>3183.098861837907</c:v>
                </c:pt>
                <c:pt idx="120">
                  <c:v>3342.2538049298023</c:v>
                </c:pt>
                <c:pt idx="121">
                  <c:v>3501.4087480216976</c:v>
                </c:pt>
                <c:pt idx="122">
                  <c:v>3660.563691113593</c:v>
                </c:pt>
                <c:pt idx="123">
                  <c:v>3819.7186342054883</c:v>
                </c:pt>
                <c:pt idx="124">
                  <c:v>3978.8735772973837</c:v>
                </c:pt>
                <c:pt idx="125">
                  <c:v>4138.028520389279</c:v>
                </c:pt>
                <c:pt idx="126">
                  <c:v>4297.1834634811739</c:v>
                </c:pt>
                <c:pt idx="127">
                  <c:v>4456.3384065730697</c:v>
                </c:pt>
                <c:pt idx="128">
                  <c:v>4615.4933496649646</c:v>
                </c:pt>
                <c:pt idx="129">
                  <c:v>4774.6482927568604</c:v>
                </c:pt>
                <c:pt idx="130">
                  <c:v>4933.8032358487553</c:v>
                </c:pt>
                <c:pt idx="131">
                  <c:v>5092.9581789406511</c:v>
                </c:pt>
                <c:pt idx="132">
                  <c:v>5252.113122032546</c:v>
                </c:pt>
                <c:pt idx="133">
                  <c:v>5411.2680651244418</c:v>
                </c:pt>
                <c:pt idx="134">
                  <c:v>5570.4230082163367</c:v>
                </c:pt>
                <c:pt idx="135">
                  <c:v>5729.5779513082325</c:v>
                </c:pt>
                <c:pt idx="136">
                  <c:v>5888.7328944001274</c:v>
                </c:pt>
                <c:pt idx="137">
                  <c:v>6047.8878374920232</c:v>
                </c:pt>
                <c:pt idx="138">
                  <c:v>6207.0427805839181</c:v>
                </c:pt>
                <c:pt idx="139">
                  <c:v>6366.1977236758139</c:v>
                </c:pt>
                <c:pt idx="140">
                  <c:v>6525.3526667677088</c:v>
                </c:pt>
                <c:pt idx="141">
                  <c:v>6684.5076098596046</c:v>
                </c:pt>
                <c:pt idx="142">
                  <c:v>6843.6625529514995</c:v>
                </c:pt>
                <c:pt idx="143">
                  <c:v>7002.8174960433953</c:v>
                </c:pt>
                <c:pt idx="144">
                  <c:v>7161.9724391352902</c:v>
                </c:pt>
                <c:pt idx="145">
                  <c:v>7321.127382227186</c:v>
                </c:pt>
                <c:pt idx="146">
                  <c:v>7480.2823253190809</c:v>
                </c:pt>
                <c:pt idx="147">
                  <c:v>7639.4372684109767</c:v>
                </c:pt>
                <c:pt idx="148">
                  <c:v>7798.5922115028716</c:v>
                </c:pt>
                <c:pt idx="149">
                  <c:v>7957.7471545947674</c:v>
                </c:pt>
                <c:pt idx="150">
                  <c:v>8116.9020976866623</c:v>
                </c:pt>
                <c:pt idx="151">
                  <c:v>8276.0570407785581</c:v>
                </c:pt>
                <c:pt idx="152">
                  <c:v>8435.211983870453</c:v>
                </c:pt>
                <c:pt idx="153">
                  <c:v>8594.3669269623479</c:v>
                </c:pt>
                <c:pt idx="154">
                  <c:v>8753.5218700542446</c:v>
                </c:pt>
                <c:pt idx="155">
                  <c:v>8912.6768131461395</c:v>
                </c:pt>
                <c:pt idx="156">
                  <c:v>9071.8317562380344</c:v>
                </c:pt>
                <c:pt idx="157">
                  <c:v>9230.9866993299293</c:v>
                </c:pt>
                <c:pt idx="158">
                  <c:v>9390.141642421826</c:v>
                </c:pt>
                <c:pt idx="159">
                  <c:v>9549.2965855137209</c:v>
                </c:pt>
                <c:pt idx="160">
                  <c:v>9708.4515286056157</c:v>
                </c:pt>
                <c:pt idx="161">
                  <c:v>9867.6064716975106</c:v>
                </c:pt>
                <c:pt idx="162">
                  <c:v>10026.761414789407</c:v>
                </c:pt>
                <c:pt idx="163">
                  <c:v>10185.916357881302</c:v>
                </c:pt>
                <c:pt idx="164">
                  <c:v>10345.071300973197</c:v>
                </c:pt>
                <c:pt idx="165">
                  <c:v>10504.226244065092</c:v>
                </c:pt>
                <c:pt idx="166">
                  <c:v>10663.381187156989</c:v>
                </c:pt>
                <c:pt idx="167">
                  <c:v>10822.536130248884</c:v>
                </c:pt>
                <c:pt idx="168">
                  <c:v>10981.691073340779</c:v>
                </c:pt>
                <c:pt idx="169">
                  <c:v>11140.846016432673</c:v>
                </c:pt>
                <c:pt idx="170">
                  <c:v>11300.00095952457</c:v>
                </c:pt>
                <c:pt idx="171">
                  <c:v>11459.155902616465</c:v>
                </c:pt>
                <c:pt idx="172">
                  <c:v>11618.31084570836</c:v>
                </c:pt>
                <c:pt idx="173">
                  <c:v>11777.465788800255</c:v>
                </c:pt>
                <c:pt idx="174">
                  <c:v>11936.620731892152</c:v>
                </c:pt>
                <c:pt idx="175">
                  <c:v>12095.775674984046</c:v>
                </c:pt>
                <c:pt idx="176">
                  <c:v>12254.930618075941</c:v>
                </c:pt>
                <c:pt idx="177">
                  <c:v>12414.085561167836</c:v>
                </c:pt>
                <c:pt idx="178">
                  <c:v>12573.240504259733</c:v>
                </c:pt>
                <c:pt idx="179">
                  <c:v>12732.395447351628</c:v>
                </c:pt>
                <c:pt idx="180">
                  <c:v>12891.550390443523</c:v>
                </c:pt>
                <c:pt idx="181">
                  <c:v>13050.705333535418</c:v>
                </c:pt>
                <c:pt idx="182">
                  <c:v>13209.860276627312</c:v>
                </c:pt>
                <c:pt idx="183">
                  <c:v>13369.015219719209</c:v>
                </c:pt>
                <c:pt idx="184">
                  <c:v>13528.170162811104</c:v>
                </c:pt>
                <c:pt idx="185">
                  <c:v>13687.325105902999</c:v>
                </c:pt>
                <c:pt idx="186">
                  <c:v>13846.480048994894</c:v>
                </c:pt>
                <c:pt idx="187">
                  <c:v>14005.634992086791</c:v>
                </c:pt>
                <c:pt idx="188">
                  <c:v>14164.789935178685</c:v>
                </c:pt>
                <c:pt idx="189">
                  <c:v>14323.94487827058</c:v>
                </c:pt>
                <c:pt idx="190">
                  <c:v>14483.099821362475</c:v>
                </c:pt>
                <c:pt idx="191">
                  <c:v>14642.254764454372</c:v>
                </c:pt>
                <c:pt idx="192">
                  <c:v>14801.409707546267</c:v>
                </c:pt>
                <c:pt idx="193">
                  <c:v>14960.564650638162</c:v>
                </c:pt>
                <c:pt idx="194">
                  <c:v>15119.719593730057</c:v>
                </c:pt>
                <c:pt idx="195">
                  <c:v>15278.874536821953</c:v>
                </c:pt>
                <c:pt idx="196">
                  <c:v>15438.029479913848</c:v>
                </c:pt>
                <c:pt idx="197">
                  <c:v>15597.184423005743</c:v>
                </c:pt>
                <c:pt idx="198">
                  <c:v>15756.339366097638</c:v>
                </c:pt>
                <c:pt idx="199">
                  <c:v>15915.494309189535</c:v>
                </c:pt>
                <c:pt idx="200">
                  <c:v>17507.043740108489</c:v>
                </c:pt>
                <c:pt idx="201">
                  <c:v>19098.593171027442</c:v>
                </c:pt>
                <c:pt idx="202">
                  <c:v>20690.142601946394</c:v>
                </c:pt>
                <c:pt idx="203">
                  <c:v>22281.692032865347</c:v>
                </c:pt>
                <c:pt idx="204">
                  <c:v>23873.241463784303</c:v>
                </c:pt>
                <c:pt idx="205">
                  <c:v>25464.790894703256</c:v>
                </c:pt>
                <c:pt idx="206">
                  <c:v>27056.340325622208</c:v>
                </c:pt>
                <c:pt idx="207">
                  <c:v>28647.889756541161</c:v>
                </c:pt>
                <c:pt idx="208">
                  <c:v>30239.439187460113</c:v>
                </c:pt>
                <c:pt idx="209">
                  <c:v>31830.98861837907</c:v>
                </c:pt>
                <c:pt idx="210">
                  <c:v>33422.538049298018</c:v>
                </c:pt>
                <c:pt idx="211">
                  <c:v>35014.087480216978</c:v>
                </c:pt>
                <c:pt idx="212">
                  <c:v>36605.636911135931</c:v>
                </c:pt>
                <c:pt idx="213">
                  <c:v>38197.186342054883</c:v>
                </c:pt>
                <c:pt idx="214">
                  <c:v>39788.735772973836</c:v>
                </c:pt>
                <c:pt idx="215">
                  <c:v>41380.285203892789</c:v>
                </c:pt>
                <c:pt idx="216">
                  <c:v>42971.834634811741</c:v>
                </c:pt>
                <c:pt idx="217">
                  <c:v>44563.384065730694</c:v>
                </c:pt>
                <c:pt idx="218">
                  <c:v>46154.933496649646</c:v>
                </c:pt>
                <c:pt idx="219">
                  <c:v>47746.482927568606</c:v>
                </c:pt>
                <c:pt idx="220">
                  <c:v>49338.032358487559</c:v>
                </c:pt>
                <c:pt idx="221">
                  <c:v>50929.581789406511</c:v>
                </c:pt>
                <c:pt idx="222">
                  <c:v>52521.131220325464</c:v>
                </c:pt>
                <c:pt idx="223">
                  <c:v>54112.680651244416</c:v>
                </c:pt>
                <c:pt idx="224">
                  <c:v>55704.230082163369</c:v>
                </c:pt>
                <c:pt idx="225">
                  <c:v>57295.779513082322</c:v>
                </c:pt>
                <c:pt idx="226">
                  <c:v>58887.328944001274</c:v>
                </c:pt>
                <c:pt idx="227">
                  <c:v>60478.878374920227</c:v>
                </c:pt>
                <c:pt idx="228">
                  <c:v>62070.427805839186</c:v>
                </c:pt>
                <c:pt idx="229">
                  <c:v>63661.977236758139</c:v>
                </c:pt>
                <c:pt idx="230">
                  <c:v>65253.526667677092</c:v>
                </c:pt>
                <c:pt idx="231">
                  <c:v>66845.076098596037</c:v>
                </c:pt>
                <c:pt idx="232">
                  <c:v>68436.625529515004</c:v>
                </c:pt>
                <c:pt idx="233">
                  <c:v>70028.174960433957</c:v>
                </c:pt>
                <c:pt idx="234">
                  <c:v>71619.724391352909</c:v>
                </c:pt>
                <c:pt idx="235">
                  <c:v>73211.273822271862</c:v>
                </c:pt>
                <c:pt idx="236">
                  <c:v>74802.823253190814</c:v>
                </c:pt>
                <c:pt idx="237">
                  <c:v>76394.372684109767</c:v>
                </c:pt>
                <c:pt idx="238">
                  <c:v>77985.922115028719</c:v>
                </c:pt>
                <c:pt idx="239">
                  <c:v>79577.471545947672</c:v>
                </c:pt>
                <c:pt idx="240">
                  <c:v>81169.020976866625</c:v>
                </c:pt>
                <c:pt idx="241">
                  <c:v>82760.570407785577</c:v>
                </c:pt>
                <c:pt idx="242">
                  <c:v>84352.11983870453</c:v>
                </c:pt>
                <c:pt idx="243">
                  <c:v>85943.669269623482</c:v>
                </c:pt>
                <c:pt idx="244">
                  <c:v>87535.218700542435</c:v>
                </c:pt>
                <c:pt idx="245">
                  <c:v>89126.768131461387</c:v>
                </c:pt>
                <c:pt idx="246">
                  <c:v>90718.31756238034</c:v>
                </c:pt>
                <c:pt idx="247">
                  <c:v>92309.866993299293</c:v>
                </c:pt>
                <c:pt idx="248">
                  <c:v>93901.416424218245</c:v>
                </c:pt>
                <c:pt idx="249">
                  <c:v>95492.965855137212</c:v>
                </c:pt>
                <c:pt idx="250">
                  <c:v>97084.515286056165</c:v>
                </c:pt>
                <c:pt idx="251">
                  <c:v>98676.064716975117</c:v>
                </c:pt>
                <c:pt idx="252">
                  <c:v>100267.61414789407</c:v>
                </c:pt>
                <c:pt idx="253">
                  <c:v>101859.16357881302</c:v>
                </c:pt>
                <c:pt idx="254">
                  <c:v>103450.71300973198</c:v>
                </c:pt>
                <c:pt idx="255">
                  <c:v>105042.26244065093</c:v>
                </c:pt>
                <c:pt idx="256">
                  <c:v>106633.81187156988</c:v>
                </c:pt>
                <c:pt idx="257">
                  <c:v>108225.36130248883</c:v>
                </c:pt>
                <c:pt idx="258">
                  <c:v>109816.91073340779</c:v>
                </c:pt>
                <c:pt idx="259">
                  <c:v>111408.46016432674</c:v>
                </c:pt>
                <c:pt idx="260">
                  <c:v>113000.00959524569</c:v>
                </c:pt>
                <c:pt idx="261">
                  <c:v>114591.55902616464</c:v>
                </c:pt>
                <c:pt idx="262">
                  <c:v>116183.1084570836</c:v>
                </c:pt>
                <c:pt idx="263">
                  <c:v>117774.65788800255</c:v>
                </c:pt>
                <c:pt idx="264">
                  <c:v>119366.2073189215</c:v>
                </c:pt>
                <c:pt idx="265">
                  <c:v>120957.75674984045</c:v>
                </c:pt>
                <c:pt idx="266">
                  <c:v>122549.30618075942</c:v>
                </c:pt>
                <c:pt idx="267">
                  <c:v>124140.85561167837</c:v>
                </c:pt>
                <c:pt idx="268">
                  <c:v>125732.40504259733</c:v>
                </c:pt>
                <c:pt idx="269">
                  <c:v>127323.95447351628</c:v>
                </c:pt>
                <c:pt idx="270">
                  <c:v>128915.50390443523</c:v>
                </c:pt>
                <c:pt idx="271">
                  <c:v>130507.05333535418</c:v>
                </c:pt>
                <c:pt idx="272">
                  <c:v>132098.60276627314</c:v>
                </c:pt>
                <c:pt idx="273">
                  <c:v>133690.15219719207</c:v>
                </c:pt>
                <c:pt idx="274">
                  <c:v>135281.70162811104</c:v>
                </c:pt>
                <c:pt idx="275">
                  <c:v>136873.25105903001</c:v>
                </c:pt>
                <c:pt idx="276">
                  <c:v>138464.80048994895</c:v>
                </c:pt>
                <c:pt idx="277">
                  <c:v>140056.34992086791</c:v>
                </c:pt>
                <c:pt idx="278">
                  <c:v>141647.89935178685</c:v>
                </c:pt>
                <c:pt idx="279">
                  <c:v>143239.44878270582</c:v>
                </c:pt>
                <c:pt idx="280">
                  <c:v>144830.99821362476</c:v>
                </c:pt>
                <c:pt idx="281">
                  <c:v>146422.54764454372</c:v>
                </c:pt>
                <c:pt idx="282">
                  <c:v>148014.09707546266</c:v>
                </c:pt>
                <c:pt idx="283">
                  <c:v>149605.64650638163</c:v>
                </c:pt>
                <c:pt idx="284">
                  <c:v>151197.19593730057</c:v>
                </c:pt>
                <c:pt idx="285">
                  <c:v>152788.74536821953</c:v>
                </c:pt>
                <c:pt idx="286">
                  <c:v>154380.29479913847</c:v>
                </c:pt>
                <c:pt idx="287">
                  <c:v>155971.84423005744</c:v>
                </c:pt>
                <c:pt idx="288">
                  <c:v>157563.39366097638</c:v>
                </c:pt>
                <c:pt idx="289">
                  <c:v>159154.94309189534</c:v>
                </c:pt>
                <c:pt idx="290">
                  <c:v>175070.43740108487</c:v>
                </c:pt>
                <c:pt idx="291">
                  <c:v>190985.93171027442</c:v>
                </c:pt>
                <c:pt idx="292">
                  <c:v>206901.42601946395</c:v>
                </c:pt>
                <c:pt idx="293">
                  <c:v>222816.92032865348</c:v>
                </c:pt>
                <c:pt idx="294">
                  <c:v>238732.414637843</c:v>
                </c:pt>
                <c:pt idx="295">
                  <c:v>254647.90894703256</c:v>
                </c:pt>
                <c:pt idx="296">
                  <c:v>270563.40325622208</c:v>
                </c:pt>
                <c:pt idx="297">
                  <c:v>286478.89756541164</c:v>
                </c:pt>
                <c:pt idx="298">
                  <c:v>302394.39187460113</c:v>
                </c:pt>
                <c:pt idx="299">
                  <c:v>318309.88618379069</c:v>
                </c:pt>
                <c:pt idx="300">
                  <c:v>334225.38049298024</c:v>
                </c:pt>
                <c:pt idx="301">
                  <c:v>350140.87480216974</c:v>
                </c:pt>
                <c:pt idx="302">
                  <c:v>366056.36911135929</c:v>
                </c:pt>
                <c:pt idx="303">
                  <c:v>381971.86342054885</c:v>
                </c:pt>
                <c:pt idx="304">
                  <c:v>397887.35772973835</c:v>
                </c:pt>
                <c:pt idx="305">
                  <c:v>413802.8520389279</c:v>
                </c:pt>
                <c:pt idx="306">
                  <c:v>429718.3463481174</c:v>
                </c:pt>
                <c:pt idx="307">
                  <c:v>445633.84065730695</c:v>
                </c:pt>
                <c:pt idx="308">
                  <c:v>461549.33496649651</c:v>
                </c:pt>
                <c:pt idx="309">
                  <c:v>477464.829275686</c:v>
                </c:pt>
                <c:pt idx="310">
                  <c:v>493380.32358487556</c:v>
                </c:pt>
                <c:pt idx="311">
                  <c:v>509295.81789406511</c:v>
                </c:pt>
                <c:pt idx="312">
                  <c:v>525211.31220325467</c:v>
                </c:pt>
                <c:pt idx="313">
                  <c:v>541126.80651244416</c:v>
                </c:pt>
                <c:pt idx="314">
                  <c:v>557042.30082163366</c:v>
                </c:pt>
                <c:pt idx="315">
                  <c:v>572957.79513082327</c:v>
                </c:pt>
                <c:pt idx="316">
                  <c:v>588873.28944001277</c:v>
                </c:pt>
                <c:pt idx="317">
                  <c:v>604788.78374920227</c:v>
                </c:pt>
                <c:pt idx="318">
                  <c:v>620704.27805839188</c:v>
                </c:pt>
                <c:pt idx="319">
                  <c:v>636619.77236758138</c:v>
                </c:pt>
                <c:pt idx="320">
                  <c:v>652535.26667677087</c:v>
                </c:pt>
                <c:pt idx="321">
                  <c:v>668450.76098596049</c:v>
                </c:pt>
                <c:pt idx="322">
                  <c:v>684366.25529514998</c:v>
                </c:pt>
                <c:pt idx="323">
                  <c:v>700281.74960433948</c:v>
                </c:pt>
                <c:pt idx="324">
                  <c:v>716197.24391352909</c:v>
                </c:pt>
                <c:pt idx="325">
                  <c:v>732112.73822271859</c:v>
                </c:pt>
                <c:pt idx="326">
                  <c:v>748028.23253190808</c:v>
                </c:pt>
                <c:pt idx="327">
                  <c:v>763943.7268410977</c:v>
                </c:pt>
                <c:pt idx="328">
                  <c:v>779859.22115028719</c:v>
                </c:pt>
                <c:pt idx="329">
                  <c:v>795774.71545947669</c:v>
                </c:pt>
                <c:pt idx="330">
                  <c:v>811690.20976866619</c:v>
                </c:pt>
                <c:pt idx="331">
                  <c:v>827605.7040778558</c:v>
                </c:pt>
                <c:pt idx="332">
                  <c:v>843521.1983870453</c:v>
                </c:pt>
                <c:pt idx="333">
                  <c:v>859436.69269623479</c:v>
                </c:pt>
                <c:pt idx="334">
                  <c:v>875352.18700542441</c:v>
                </c:pt>
                <c:pt idx="335">
                  <c:v>891267.6813146139</c:v>
                </c:pt>
                <c:pt idx="336">
                  <c:v>907183.1756238034</c:v>
                </c:pt>
                <c:pt idx="337">
                  <c:v>923098.66993299301</c:v>
                </c:pt>
                <c:pt idx="338">
                  <c:v>939014.16424218251</c:v>
                </c:pt>
                <c:pt idx="339">
                  <c:v>954929.65855137201</c:v>
                </c:pt>
                <c:pt idx="340">
                  <c:v>970845.15286056162</c:v>
                </c:pt>
                <c:pt idx="341">
                  <c:v>986760.64716975112</c:v>
                </c:pt>
                <c:pt idx="342">
                  <c:v>1002676.1414789406</c:v>
                </c:pt>
                <c:pt idx="343">
                  <c:v>1018591.6357881302</c:v>
                </c:pt>
                <c:pt idx="344">
                  <c:v>1034507.1300973197</c:v>
                </c:pt>
                <c:pt idx="345">
                  <c:v>1050422.6244065093</c:v>
                </c:pt>
                <c:pt idx="346">
                  <c:v>1066338.1187156988</c:v>
                </c:pt>
                <c:pt idx="347">
                  <c:v>1082253.6130248883</c:v>
                </c:pt>
                <c:pt idx="348">
                  <c:v>1098169.1073340778</c:v>
                </c:pt>
                <c:pt idx="349">
                  <c:v>1114084.6016432673</c:v>
                </c:pt>
                <c:pt idx="350">
                  <c:v>1130000.0959524568</c:v>
                </c:pt>
                <c:pt idx="351">
                  <c:v>1145915.5902616465</c:v>
                </c:pt>
                <c:pt idx="352">
                  <c:v>1161831.084570836</c:v>
                </c:pt>
                <c:pt idx="353">
                  <c:v>1177746.5788800255</c:v>
                </c:pt>
                <c:pt idx="354">
                  <c:v>1193662.073189215</c:v>
                </c:pt>
                <c:pt idx="355">
                  <c:v>1209577.5674984045</c:v>
                </c:pt>
                <c:pt idx="356">
                  <c:v>1225493.061807594</c:v>
                </c:pt>
                <c:pt idx="357">
                  <c:v>1241408.5561167838</c:v>
                </c:pt>
                <c:pt idx="358">
                  <c:v>1257324.0504259733</c:v>
                </c:pt>
                <c:pt idx="359">
                  <c:v>1273239.5447351628</c:v>
                </c:pt>
                <c:pt idx="360">
                  <c:v>1289155.0390443522</c:v>
                </c:pt>
                <c:pt idx="361">
                  <c:v>1305070.5333535417</c:v>
                </c:pt>
                <c:pt idx="362">
                  <c:v>1320986.0276627312</c:v>
                </c:pt>
                <c:pt idx="363">
                  <c:v>1336901.521971921</c:v>
                </c:pt>
                <c:pt idx="364">
                  <c:v>1352817.0162811105</c:v>
                </c:pt>
                <c:pt idx="365">
                  <c:v>1368732.5105903</c:v>
                </c:pt>
                <c:pt idx="366">
                  <c:v>1384648.0048994895</c:v>
                </c:pt>
                <c:pt idx="367">
                  <c:v>1400563.499208679</c:v>
                </c:pt>
                <c:pt idx="368">
                  <c:v>1416478.9935178685</c:v>
                </c:pt>
                <c:pt idx="369">
                  <c:v>1432394.4878270582</c:v>
                </c:pt>
                <c:pt idx="370">
                  <c:v>1448309.9821362477</c:v>
                </c:pt>
                <c:pt idx="371">
                  <c:v>1464225.4764454372</c:v>
                </c:pt>
                <c:pt idx="372">
                  <c:v>1480140.9707546267</c:v>
                </c:pt>
                <c:pt idx="373">
                  <c:v>1496056.4650638162</c:v>
                </c:pt>
                <c:pt idx="374">
                  <c:v>1511971.9593730057</c:v>
                </c:pt>
                <c:pt idx="375">
                  <c:v>1527887.4536821954</c:v>
                </c:pt>
                <c:pt idx="376">
                  <c:v>1543802.9479913849</c:v>
                </c:pt>
                <c:pt idx="377">
                  <c:v>1559718.4423005744</c:v>
                </c:pt>
                <c:pt idx="378">
                  <c:v>1575633.9366097639</c:v>
                </c:pt>
                <c:pt idx="379">
                  <c:v>1591549.4309189534</c:v>
                </c:pt>
              </c:numCache>
            </c:numRef>
          </c:xVal>
          <c:yVal>
            <c:numRef>
              <c:f>'Loop Gain'!$AA$2:$AA$381</c:f>
              <c:numCache>
                <c:formatCode>General</c:formatCode>
                <c:ptCount val="380"/>
                <c:pt idx="0">
                  <c:v>89.628529345065232</c:v>
                </c:pt>
                <c:pt idx="1">
                  <c:v>69.619569091290259</c:v>
                </c:pt>
                <c:pt idx="2">
                  <c:v>63.57192955683329</c:v>
                </c:pt>
                <c:pt idx="3">
                  <c:v>60.005410180386235</c:v>
                </c:pt>
                <c:pt idx="4">
                  <c:v>57.44482856124187</c:v>
                </c:pt>
                <c:pt idx="5">
                  <c:v>55.428436974562949</c:v>
                </c:pt>
                <c:pt idx="6">
                  <c:v>53.751123528872995</c:v>
                </c:pt>
                <c:pt idx="7">
                  <c:v>52.304016865882922</c:v>
                </c:pt>
                <c:pt idx="8">
                  <c:v>51.02263395770288</c:v>
                </c:pt>
                <c:pt idx="9">
                  <c:v>49.865837054661966</c:v>
                </c:pt>
                <c:pt idx="10">
                  <c:v>48.805939153228195</c:v>
                </c:pt>
                <c:pt idx="11">
                  <c:v>40.975221144975855</c:v>
                </c:pt>
                <c:pt idx="12">
                  <c:v>35.503463986780773</c:v>
                </c:pt>
                <c:pt idx="13">
                  <c:v>31.230421493249111</c:v>
                </c:pt>
                <c:pt idx="14">
                  <c:v>27.741388150127168</c:v>
                </c:pt>
                <c:pt idx="15">
                  <c:v>24.806864708921502</c:v>
                </c:pt>
                <c:pt idx="16">
                  <c:v>22.282930890093166</c:v>
                </c:pt>
                <c:pt idx="17">
                  <c:v>20.073834272146662</c:v>
                </c:pt>
                <c:pt idx="18">
                  <c:v>18.11310700848178</c:v>
                </c:pt>
                <c:pt idx="19">
                  <c:v>16.352976848269613</c:v>
                </c:pt>
                <c:pt idx="20">
                  <c:v>14.758083006197543</c:v>
                </c:pt>
                <c:pt idx="21">
                  <c:v>13.301584067889101</c:v>
                </c:pt>
                <c:pt idx="22">
                  <c:v>11.962658368573182</c:v>
                </c:pt>
                <c:pt idx="23">
                  <c:v>10.72484680617139</c:v>
                </c:pt>
                <c:pt idx="24">
                  <c:v>9.574922861082463</c:v>
                </c:pt>
                <c:pt idx="25">
                  <c:v>8.5021026590576376</c:v>
                </c:pt>
                <c:pt idx="26">
                  <c:v>7.4974803694950864</c:v>
                </c:pt>
                <c:pt idx="27">
                  <c:v>6.55361659511086</c:v>
                </c:pt>
                <c:pt idx="28">
                  <c:v>5.6642329286319928</c:v>
                </c:pt>
                <c:pt idx="29">
                  <c:v>4.8239816490870524</c:v>
                </c:pt>
                <c:pt idx="30">
                  <c:v>4.0282695544827423</c:v>
                </c:pt>
                <c:pt idx="31">
                  <c:v>3.2731214345694433</c:v>
                </c:pt>
                <c:pt idx="32">
                  <c:v>2.5550729996745734</c:v>
                </c:pt>
                <c:pt idx="33">
                  <c:v>1.87108599426033</c:v>
                </c:pt>
                <c:pt idx="34">
                  <c:v>1.2184802258272782</c:v>
                </c:pt>
                <c:pt idx="35">
                  <c:v>0.59487863807793318</c:v>
                </c:pt>
                <c:pt idx="36">
                  <c:v>-1.8374515139694125E-3</c:v>
                </c:pt>
                <c:pt idx="37">
                  <c:v>-0.57356511722271186</c:v>
                </c:pt>
                <c:pt idx="38">
                  <c:v>-1.1220102426735377</c:v>
                </c:pt>
                <c:pt idx="39">
                  <c:v>-1.648712857661593</c:v>
                </c:pt>
                <c:pt idx="40">
                  <c:v>-2.1550683769696786</c:v>
                </c:pt>
                <c:pt idx="41">
                  <c:v>-2.6423455100625581</c:v>
                </c:pt>
                <c:pt idx="42">
                  <c:v>-3.111701448063247</c:v>
                </c:pt>
                <c:pt idx="43">
                  <c:v>-3.5641948099103899</c:v>
                </c:pt>
                <c:pt idx="44">
                  <c:v>-4.0007967333725745</c:v>
                </c:pt>
                <c:pt idx="45">
                  <c:v>-4.4224004216429194</c:v>
                </c:pt>
                <c:pt idx="46">
                  <c:v>-4.8298293974231505</c:v>
                </c:pt>
                <c:pt idx="47">
                  <c:v>-5.2238446699247412</c:v>
                </c:pt>
                <c:pt idx="48">
                  <c:v>-5.6051509832457089</c:v>
                </c:pt>
                <c:pt idx="49">
                  <c:v>-5.9744022849875105</c:v>
                </c:pt>
                <c:pt idx="50">
                  <c:v>-6.3322065301554993</c:v>
                </c:pt>
                <c:pt idx="51">
                  <c:v>-6.6791299160938138</c:v>
                </c:pt>
                <c:pt idx="52">
                  <c:v>-7.0157006285132457</c:v>
                </c:pt>
                <c:pt idx="53">
                  <c:v>-7.3424121658278843</c:v>
                </c:pt>
                <c:pt idx="54">
                  <c:v>-7.6597262984693515</c:v>
                </c:pt>
                <c:pt idx="55">
                  <c:v>-7.9680757111339489</c:v>
                </c:pt>
                <c:pt idx="56">
                  <c:v>-8.2678663687033502</c:v>
                </c:pt>
                <c:pt idx="57">
                  <c:v>-8.5594796405660674</c:v>
                </c:pt>
                <c:pt idx="58">
                  <c:v>-8.8432742130478523</c:v>
                </c:pt>
                <c:pt idx="59">
                  <c:v>-9.1195878154462431</c:v>
                </c:pt>
                <c:pt idx="60">
                  <c:v>-9.3887387816204626</c:v>
                </c:pt>
                <c:pt idx="61">
                  <c:v>-9.6510274660947246</c:v>
                </c:pt>
                <c:pt idx="62">
                  <c:v>-9.9067375310952954</c:v>
                </c:pt>
                <c:pt idx="63">
                  <c:v>-10.156137118786406</c:v>
                </c:pt>
                <c:pt idx="64">
                  <c:v>-10.399479921132583</c:v>
                </c:pt>
                <c:pt idx="65">
                  <c:v>-10.637006158242567</c:v>
                </c:pt>
                <c:pt idx="66">
                  <c:v>-10.868943474702441</c:v>
                </c:pt>
                <c:pt idx="67">
                  <c:v>-11.095507762247898</c:v>
                </c:pt>
                <c:pt idx="68">
                  <c:v>-11.316903916124899</c:v>
                </c:pt>
                <c:pt idx="69">
                  <c:v>-11.5333265316271</c:v>
                </c:pt>
                <c:pt idx="70">
                  <c:v>-11.744960546547434</c:v>
                </c:pt>
                <c:pt idx="71">
                  <c:v>-11.951981834633054</c:v>
                </c:pt>
                <c:pt idx="72">
                  <c:v>-12.154557754567033</c:v>
                </c:pt>
                <c:pt idx="73">
                  <c:v>-12.352847658504485</c:v>
                </c:pt>
                <c:pt idx="74">
                  <c:v>-12.547003363760709</c:v>
                </c:pt>
                <c:pt idx="75">
                  <c:v>-12.737169590868213</c:v>
                </c:pt>
                <c:pt idx="76">
                  <c:v>-12.923484370888016</c:v>
                </c:pt>
                <c:pt idx="77">
                  <c:v>-13.106079424565188</c:v>
                </c:pt>
                <c:pt idx="78">
                  <c:v>-13.285080515662461</c:v>
                </c:pt>
                <c:pt idx="79">
                  <c:v>-13.460607780573635</c:v>
                </c:pt>
                <c:pt idx="80">
                  <c:v>-13.632776036118596</c:v>
                </c:pt>
                <c:pt idx="81">
                  <c:v>-13.801695067238855</c:v>
                </c:pt>
                <c:pt idx="82">
                  <c:v>-13.967469896153485</c:v>
                </c:pt>
                <c:pt idx="83">
                  <c:v>-14.130201034392773</c:v>
                </c:pt>
                <c:pt idx="84">
                  <c:v>-14.289984718997054</c:v>
                </c:pt>
                <c:pt idx="85">
                  <c:v>-14.446913134056425</c:v>
                </c:pt>
                <c:pt idx="86">
                  <c:v>-14.601074618662167</c:v>
                </c:pt>
                <c:pt idx="87">
                  <c:v>-14.752553862250128</c:v>
                </c:pt>
                <c:pt idx="88">
                  <c:v>-14.901432088232456</c:v>
                </c:pt>
                <c:pt idx="89">
                  <c:v>-15.047787226740223</c:v>
                </c:pt>
                <c:pt idx="90">
                  <c:v>-15.191694077230441</c:v>
                </c:pt>
                <c:pt idx="91">
                  <c:v>-15.333224461652335</c:v>
                </c:pt>
                <c:pt idx="92">
                  <c:v>-15.472447368809576</c:v>
                </c:pt>
                <c:pt idx="93">
                  <c:v>-15.609429090507552</c:v>
                </c:pt>
                <c:pt idx="94">
                  <c:v>-15.744233350027018</c:v>
                </c:pt>
                <c:pt idx="95">
                  <c:v>-15.876921423426227</c:v>
                </c:pt>
                <c:pt idx="96">
                  <c:v>-16.007552254133145</c:v>
                </c:pt>
                <c:pt idx="97">
                  <c:v>-16.136182561257257</c:v>
                </c:pt>
                <c:pt idx="98">
                  <c:v>-16.26286694201784</c:v>
                </c:pt>
                <c:pt idx="99">
                  <c:v>-16.387657968655951</c:v>
                </c:pt>
                <c:pt idx="100">
                  <c:v>-16.510606280172937</c:v>
                </c:pt>
                <c:pt idx="101">
                  <c:v>-16.631760669211697</c:v>
                </c:pt>
                <c:pt idx="102">
                  <c:v>-16.751168164377141</c:v>
                </c:pt>
                <c:pt idx="103">
                  <c:v>-16.868874108268564</c:v>
                </c:pt>
                <c:pt idx="104">
                  <c:v>-16.984922231481981</c:v>
                </c:pt>
                <c:pt idx="105">
                  <c:v>-17.099354722818141</c:v>
                </c:pt>
                <c:pt idx="106">
                  <c:v>-17.212212295921379</c:v>
                </c:pt>
                <c:pt idx="107">
                  <c:v>-17.323534252554236</c:v>
                </c:pt>
                <c:pt idx="108">
                  <c:v>-17.433358542703402</c:v>
                </c:pt>
                <c:pt idx="109">
                  <c:v>-17.541721821697244</c:v>
                </c:pt>
                <c:pt idx="110">
                  <c:v>-18.55223869115844</c:v>
                </c:pt>
                <c:pt idx="111">
                  <c:v>-19.449155254362605</c:v>
                </c:pt>
                <c:pt idx="112">
                  <c:v>-20.254272617659598</c:v>
                </c:pt>
                <c:pt idx="113">
                  <c:v>-20.983845545025396</c:v>
                </c:pt>
                <c:pt idx="114">
                  <c:v>-21.650254210024375</c:v>
                </c:pt>
                <c:pt idx="115">
                  <c:v>-22.263108998002341</c:v>
                </c:pt>
                <c:pt idx="116">
                  <c:v>-22.829998644223018</c:v>
                </c:pt>
                <c:pt idx="117">
                  <c:v>-23.357008179144881</c:v>
                </c:pt>
                <c:pt idx="118">
                  <c:v>-23.849084819439831</c:v>
                </c:pt>
                <c:pt idx="119">
                  <c:v>-24.31030126565139</c:v>
                </c:pt>
                <c:pt idx="120">
                  <c:v>-24.744048414842378</c:v>
                </c:pt>
                <c:pt idx="121">
                  <c:v>-25.15317862823694</c:v>
                </c:pt>
                <c:pt idx="122">
                  <c:v>-25.540113781219759</c:v>
                </c:pt>
                <c:pt idx="123">
                  <c:v>-25.906927839574337</c:v>
                </c:pt>
                <c:pt idx="124">
                  <c:v>-26.25541074457113</c:v>
                </c:pt>
                <c:pt idx="125">
                  <c:v>-26.587118400220657</c:v>
                </c:pt>
                <c:pt idx="126">
                  <c:v>-26.903412198335381</c:v>
                </c:pt>
                <c:pt idx="127">
                  <c:v>-27.20549057662647</c:v>
                </c:pt>
                <c:pt idx="128">
                  <c:v>-27.494414444549683</c:v>
                </c:pt>
                <c:pt idx="129">
                  <c:v>-27.77112784162642</c:v>
                </c:pt>
                <c:pt idx="130">
                  <c:v>-28.036474854417129</c:v>
                </c:pt>
                <c:pt idx="131">
                  <c:v>-28.291213571646285</c:v>
                </c:pt>
                <c:pt idx="132">
                  <c:v>-28.536027675270471</c:v>
                </c:pt>
                <c:pt idx="133">
                  <c:v>-28.771536130069585</c:v>
                </c:pt>
                <c:pt idx="134">
                  <c:v>-28.998301332746003</c:v>
                </c:pt>
                <c:pt idx="135">
                  <c:v>-29.216836004488393</c:v>
                </c:pt>
                <c:pt idx="136">
                  <c:v>-29.427609052047202</c:v>
                </c:pt>
                <c:pt idx="137">
                  <c:v>-29.631050576949896</c:v>
                </c:pt>
                <c:pt idx="138">
                  <c:v>-29.827556177194538</c:v>
                </c:pt>
                <c:pt idx="139">
                  <c:v>-30.017490658140218</c:v>
                </c:pt>
                <c:pt idx="140">
                  <c:v>-30.201191247547229</c:v>
                </c:pt>
                <c:pt idx="141">
                  <c:v>-30.378970392447975</c:v>
                </c:pt>
                <c:pt idx="142">
                  <c:v>-30.551118201749894</c:v>
                </c:pt>
                <c:pt idx="143">
                  <c:v>-30.71790458739649</c:v>
                </c:pt>
                <c:pt idx="144">
                  <c:v>-30.879581147978492</c:v>
                </c:pt>
                <c:pt idx="145">
                  <c:v>-31.036382831422724</c:v>
                </c:pt>
                <c:pt idx="146">
                  <c:v>-31.188529407466952</c:v>
                </c:pt>
                <c:pt idx="147">
                  <c:v>-31.336226775768466</c:v>
                </c:pt>
                <c:pt idx="148">
                  <c:v>-31.479668131492367</c:v>
                </c:pt>
                <c:pt idx="149">
                  <c:v>-31.619035006911272</c:v>
                </c:pt>
                <c:pt idx="150">
                  <c:v>-31.75449820479664</c:v>
                </c:pt>
                <c:pt idx="151">
                  <c:v>-31.886218637083527</c:v>
                </c:pt>
                <c:pt idx="152">
                  <c:v>-32.014348080364982</c:v>
                </c:pt>
                <c:pt idx="153">
                  <c:v>-32.1390298581561</c:v>
                </c:pt>
                <c:pt idx="154">
                  <c:v>-32.2603994584993</c:v>
                </c:pt>
                <c:pt idx="155">
                  <c:v>-32.378585094329928</c:v>
                </c:pt>
                <c:pt idx="156">
                  <c:v>-32.493708213035148</c:v>
                </c:pt>
                <c:pt idx="157">
                  <c:v>-32.605883960806146</c:v>
                </c:pt>
                <c:pt idx="158">
                  <c:v>-32.715221606665864</c:v>
                </c:pt>
                <c:pt idx="159">
                  <c:v>-32.821824930444052</c:v>
                </c:pt>
                <c:pt idx="160">
                  <c:v>-32.925792578442284</c:v>
                </c:pt>
                <c:pt idx="161">
                  <c:v>-33.027218390080172</c:v>
                </c:pt>
                <c:pt idx="162">
                  <c:v>-33.126191698420932</c:v>
                </c:pt>
                <c:pt idx="163">
                  <c:v>-33.22279760713473</c:v>
                </c:pt>
                <c:pt idx="164">
                  <c:v>-33.317117246164536</c:v>
                </c:pt>
                <c:pt idx="165">
                  <c:v>-33.409228008101827</c:v>
                </c:pt>
                <c:pt idx="166">
                  <c:v>-33.499203767057395</c:v>
                </c:pt>
                <c:pt idx="167">
                  <c:v>-33.587115081615131</c:v>
                </c:pt>
                <c:pt idx="168">
                  <c:v>-33.673029383287712</c:v>
                </c:pt>
                <c:pt idx="169">
                  <c:v>-33.75701115174143</c:v>
                </c:pt>
                <c:pt idx="170">
                  <c:v>-33.83912207792649</c:v>
                </c:pt>
                <c:pt idx="171">
                  <c:v>-33.919421216132271</c:v>
                </c:pt>
                <c:pt idx="172">
                  <c:v>-33.997965125883908</c:v>
                </c:pt>
                <c:pt idx="173">
                  <c:v>-34.074808004507545</c:v>
                </c:pt>
                <c:pt idx="174">
                  <c:v>-34.150001811108837</c:v>
                </c:pt>
                <c:pt idx="175">
                  <c:v>-34.223596382640132</c:v>
                </c:pt>
                <c:pt idx="176">
                  <c:v>-34.295639542666265</c:v>
                </c:pt>
                <c:pt idx="177">
                  <c:v>-34.366177203383579</c:v>
                </c:pt>
                <c:pt idx="178">
                  <c:v>-34.435253461397252</c:v>
                </c:pt>
                <c:pt idx="179">
                  <c:v>-34.50291068771341</c:v>
                </c:pt>
                <c:pt idx="180">
                  <c:v>-34.569189612365982</c:v>
                </c:pt>
                <c:pt idx="181">
                  <c:v>-34.634129404060943</c:v>
                </c:pt>
                <c:pt idx="182">
                  <c:v>-34.697767745185558</c:v>
                </c:pt>
                <c:pt idx="183">
                  <c:v>-34.760140902504823</c:v>
                </c:pt>
                <c:pt idx="184">
                  <c:v>-34.821283793837615</c:v>
                </c:pt>
                <c:pt idx="185">
                  <c:v>-34.881230050983895</c:v>
                </c:pt>
                <c:pt idx="186">
                  <c:v>-34.940012079150094</c:v>
                </c:pt>
                <c:pt idx="187">
                  <c:v>-34.997661113102588</c:v>
                </c:pt>
                <c:pt idx="188">
                  <c:v>-35.054207270260193</c:v>
                </c:pt>
                <c:pt idx="189">
                  <c:v>-35.109679600920131</c:v>
                </c:pt>
                <c:pt idx="190">
                  <c:v>-35.164106135799877</c:v>
                </c:pt>
                <c:pt idx="191">
                  <c:v>-35.217513931059131</c:v>
                </c:pt>
                <c:pt idx="192">
                  <c:v>-35.269929110959609</c:v>
                </c:pt>
                <c:pt idx="193">
                  <c:v>-35.321376908304401</c:v>
                </c:pt>
                <c:pt idx="194">
                  <c:v>-35.371881702792201</c:v>
                </c:pt>
                <c:pt idx="195">
                  <c:v>-35.421467057408819</c:v>
                </c:pt>
                <c:pt idx="196">
                  <c:v>-35.470155752973668</c:v>
                </c:pt>
                <c:pt idx="197">
                  <c:v>-35.517969820946895</c:v>
                </c:pt>
                <c:pt idx="198">
                  <c:v>-35.564930574599984</c:v>
                </c:pt>
                <c:pt idx="199">
                  <c:v>-35.611058638641623</c:v>
                </c:pt>
                <c:pt idx="200">
                  <c:v>-36.030638983426577</c:v>
                </c:pt>
                <c:pt idx="201">
                  <c:v>-36.38545571095279</c:v>
                </c:pt>
                <c:pt idx="202">
                  <c:v>-36.688152715486581</c:v>
                </c:pt>
                <c:pt idx="203">
                  <c:v>-36.948337159105279</c:v>
                </c:pt>
                <c:pt idx="204">
                  <c:v>-37.173454834372897</c:v>
                </c:pt>
                <c:pt idx="205">
                  <c:v>-37.369373120552275</c:v>
                </c:pt>
                <c:pt idx="206">
                  <c:v>-37.5407803529597</c:v>
                </c:pt>
                <c:pt idx="207">
                  <c:v>-37.691466769658149</c:v>
                </c:pt>
                <c:pt idx="208">
                  <c:v>-37.824527014303314</c:v>
                </c:pt>
                <c:pt idx="209">
                  <c:v>-37.94250931219478</c:v>
                </c:pt>
                <c:pt idx="210">
                  <c:v>-38.047527484317747</c:v>
                </c:pt>
                <c:pt idx="211">
                  <c:v>-38.141346459448144</c:v>
                </c:pt>
                <c:pt idx="212">
                  <c:v>-38.225448486371015</c:v>
                </c:pt>
                <c:pt idx="213">
                  <c:v>-38.301085027027291</c:v>
                </c:pt>
                <c:pt idx="214">
                  <c:v>-38.369317851695691</c:v>
                </c:pt>
                <c:pt idx="215">
                  <c:v>-38.431051875955724</c:v>
                </c:pt>
                <c:pt idx="216">
                  <c:v>-38.487061604665797</c:v>
                </c:pt>
                <c:pt idx="217">
                  <c:v>-38.538012574795374</c:v>
                </c:pt>
                <c:pt idx="218">
                  <c:v>-38.584478850241062</c:v>
                </c:pt>
                <c:pt idx="219">
                  <c:v>-38.626957375156472</c:v>
                </c:pt>
                <c:pt idx="220">
                  <c:v>-38.665879809981305</c:v>
                </c:pt>
                <c:pt idx="221">
                  <c:v>-38.701622337674493</c:v>
                </c:pt>
                <c:pt idx="222">
                  <c:v>-38.734513823963333</c:v>
                </c:pt>
                <c:pt idx="223">
                  <c:v>-38.764842635942699</c:v>
                </c:pt>
                <c:pt idx="224">
                  <c:v>-38.792862361862689</c:v>
                </c:pt>
                <c:pt idx="225">
                  <c:v>-38.818796626992444</c:v>
                </c:pt>
                <c:pt idx="226">
                  <c:v>-38.84284316278319</c:v>
                </c:pt>
                <c:pt idx="227">
                  <c:v>-38.865177256774075</c:v>
                </c:pt>
                <c:pt idx="228">
                  <c:v>-38.885954687017517</c:v>
                </c:pt>
                <c:pt idx="229">
                  <c:v>-38.905314225874058</c:v>
                </c:pt>
                <c:pt idx="230">
                  <c:v>-38.92337978283571</c:v>
                </c:pt>
                <c:pt idx="231">
                  <c:v>-38.940262243769602</c:v>
                </c:pt>
                <c:pt idx="232">
                  <c:v>-38.95606105404935</c:v>
                </c:pt>
                <c:pt idx="233">
                  <c:v>-38.970865584953607</c:v>
                </c:pt>
                <c:pt idx="234">
                  <c:v>-38.984756316123033</c:v>
                </c:pt>
                <c:pt idx="235">
                  <c:v>-38.997805861453614</c:v>
                </c:pt>
                <c:pt idx="236">
                  <c:v>-39.010079861366883</c:v>
                </c:pt>
                <c:pt idx="237">
                  <c:v>-39.021637760728062</c:v>
                </c:pt>
                <c:pt idx="238">
                  <c:v>-39.032533488650934</c:v>
                </c:pt>
                <c:pt idx="239">
                  <c:v>-39.042816053908638</c:v>
                </c:pt>
                <c:pt idx="240">
                  <c:v>-39.052530067575191</c:v>
                </c:pt>
                <c:pt idx="241">
                  <c:v>-39.06171620277037</c:v>
                </c:pt>
                <c:pt idx="242">
                  <c:v>-39.070411599916731</c:v>
                </c:pt>
                <c:pt idx="243">
                  <c:v>-39.078650224685809</c:v>
                </c:pt>
                <c:pt idx="244">
                  <c:v>-39.086463184777216</c:v>
                </c:pt>
                <c:pt idx="245">
                  <c:v>-39.0938790107977</c:v>
                </c:pt>
                <c:pt idx="246">
                  <c:v>-39.100923905771303</c:v>
                </c:pt>
                <c:pt idx="247">
                  <c:v>-39.107621967182268</c:v>
                </c:pt>
                <c:pt idx="248">
                  <c:v>-39.11399538492077</c:v>
                </c:pt>
                <c:pt idx="249">
                  <c:v>-39.120064618048524</c:v>
                </c:pt>
                <c:pt idx="250">
                  <c:v>-39.125848552911073</c:v>
                </c:pt>
                <c:pt idx="251">
                  <c:v>-39.131364644795084</c:v>
                </c:pt>
                <c:pt idx="252">
                  <c:v>-39.136629045042447</c:v>
                </c:pt>
                <c:pt idx="253">
                  <c:v>-39.141656715288654</c:v>
                </c:pt>
                <c:pt idx="254">
                  <c:v>-39.146461530284128</c:v>
                </c:pt>
                <c:pt idx="255">
                  <c:v>-39.151056370572775</c:v>
                </c:pt>
                <c:pt idx="256">
                  <c:v>-39.155453206148799</c:v>
                </c:pt>
                <c:pt idx="257">
                  <c:v>-39.15966317207225</c:v>
                </c:pt>
                <c:pt idx="258">
                  <c:v>-39.163696636910714</c:v>
                </c:pt>
                <c:pt idx="259">
                  <c:v>-39.167563264766891</c:v>
                </c:pt>
                <c:pt idx="260">
                  <c:v>-39.171272071568012</c:v>
                </c:pt>
                <c:pt idx="261">
                  <c:v>-39.174831476209697</c:v>
                </c:pt>
                <c:pt idx="262">
                  <c:v>-39.178249347082534</c:v>
                </c:pt>
                <c:pt idx="263">
                  <c:v>-39.181533044448891</c:v>
                </c:pt>
                <c:pt idx="264">
                  <c:v>-39.184689459084709</c:v>
                </c:pt>
                <c:pt idx="265">
                  <c:v>-39.187725047555361</c:v>
                </c:pt>
                <c:pt idx="266">
                  <c:v>-39.190645864455611</c:v>
                </c:pt>
                <c:pt idx="267">
                  <c:v>-39.193457591906132</c:v>
                </c:pt>
                <c:pt idx="268">
                  <c:v>-39.196165566568538</c:v>
                </c:pt>
                <c:pt idx="269">
                  <c:v>-39.198774804414981</c:v>
                </c:pt>
                <c:pt idx="270">
                  <c:v>-39.2012900234593</c:v>
                </c:pt>
                <c:pt idx="271">
                  <c:v>-39.203715664640995</c:v>
                </c:pt>
                <c:pt idx="272">
                  <c:v>-39.206055911029331</c:v>
                </c:pt>
                <c:pt idx="273">
                  <c:v>-39.208314705499717</c:v>
                </c:pt>
                <c:pt idx="274">
                  <c:v>-39.210495767018465</c:v>
                </c:pt>
                <c:pt idx="275">
                  <c:v>-39.212602605660827</c:v>
                </c:pt>
                <c:pt idx="276">
                  <c:v>-39.214638536471483</c:v>
                </c:pt>
                <c:pt idx="277">
                  <c:v>-39.216606692268421</c:v>
                </c:pt>
                <c:pt idx="278">
                  <c:v>-39.218510035481138</c:v>
                </c:pt>
                <c:pt idx="279">
                  <c:v>-39.22035136910533</c:v>
                </c:pt>
                <c:pt idx="280">
                  <c:v>-39.222133346847478</c:v>
                </c:pt>
                <c:pt idx="281">
                  <c:v>-39.223858482527305</c:v>
                </c:pt>
                <c:pt idx="282">
                  <c:v>-39.225529158799738</c:v>
                </c:pt>
                <c:pt idx="283">
                  <c:v>-39.227147635251072</c:v>
                </c:pt>
                <c:pt idx="284">
                  <c:v>-39.228716055920046</c:v>
                </c:pt>
                <c:pt idx="285">
                  <c:v>-39.230236456290534</c:v>
                </c:pt>
                <c:pt idx="286">
                  <c:v>-39.231710769797068</c:v>
                </c:pt>
                <c:pt idx="287">
                  <c:v>-39.233140833881372</c:v>
                </c:pt>
                <c:pt idx="288">
                  <c:v>-39.234528395635543</c:v>
                </c:pt>
                <c:pt idx="289">
                  <c:v>-39.235875117062967</c:v>
                </c:pt>
                <c:pt idx="290">
                  <c:v>-39.247409840968295</c:v>
                </c:pt>
                <c:pt idx="291">
                  <c:v>-39.256211008125852</c:v>
                </c:pt>
                <c:pt idx="292">
                  <c:v>-39.263077261466606</c:v>
                </c:pt>
                <c:pt idx="293">
                  <c:v>-39.268535981093081</c:v>
                </c:pt>
                <c:pt idx="294">
                  <c:v>-39.272946630372878</c:v>
                </c:pt>
                <c:pt idx="295">
                  <c:v>-39.276560977377073</c:v>
                </c:pt>
                <c:pt idx="296">
                  <c:v>-39.279559573437183</c:v>
                </c:pt>
                <c:pt idx="297">
                  <c:v>-39.282074603800751</c:v>
                </c:pt>
                <c:pt idx="298">
                  <c:v>-39.284204627843067</c:v>
                </c:pt>
                <c:pt idx="299">
                  <c:v>-39.286024336755247</c:v>
                </c:pt>
                <c:pt idx="300">
                  <c:v>-39.287591163130919</c:v>
                </c:pt>
                <c:pt idx="301">
                  <c:v>-39.288949851121707</c:v>
                </c:pt>
                <c:pt idx="302">
                  <c:v>-39.290135675435202</c:v>
                </c:pt>
                <c:pt idx="303">
                  <c:v>-39.291176746891388</c:v>
                </c:pt>
                <c:pt idx="304">
                  <c:v>-39.292095689040337</c:v>
                </c:pt>
                <c:pt idx="305">
                  <c:v>-39.292910874448609</c:v>
                </c:pt>
                <c:pt idx="306">
                  <c:v>-39.293637347967675</c:v>
                </c:pt>
                <c:pt idx="307">
                  <c:v>-39.29428752435053</c:v>
                </c:pt>
                <c:pt idx="308">
                  <c:v>-39.2948717210895</c:v>
                </c:pt>
                <c:pt idx="309">
                  <c:v>-39.295398569484547</c:v>
                </c:pt>
                <c:pt idx="310">
                  <c:v>-39.295875334725501</c:v>
                </c:pt>
                <c:pt idx="311">
                  <c:v>-39.296308167291407</c:v>
                </c:pt>
                <c:pt idx="312">
                  <c:v>-39.296702302000298</c:v>
                </c:pt>
                <c:pt idx="313">
                  <c:v>-39.297062216805827</c:v>
                </c:pt>
                <c:pt idx="314">
                  <c:v>-39.297391760378069</c:v>
                </c:pt>
                <c:pt idx="315">
                  <c:v>-39.297694255287581</c:v>
                </c:pt>
                <c:pt idx="316">
                  <c:v>-39.297972581982521</c:v>
                </c:pt>
                <c:pt idx="317">
                  <c:v>-39.29822924753563</c:v>
                </c:pt>
                <c:pt idx="318">
                  <c:v>-39.29846644223931</c:v>
                </c:pt>
                <c:pt idx="319">
                  <c:v>-39.298686086440682</c:v>
                </c:pt>
                <c:pt idx="320">
                  <c:v>-39.298889869495831</c:v>
                </c:pt>
                <c:pt idx="321">
                  <c:v>-39.299079282320093</c:v>
                </c:pt>
                <c:pt idx="322">
                  <c:v>-39.299255644711593</c:v>
                </c:pt>
                <c:pt idx="323">
                  <c:v>-39.299420128384867</c:v>
                </c:pt>
                <c:pt idx="324">
                  <c:v>-39.299573776467916</c:v>
                </c:pt>
                <c:pt idx="325">
                  <c:v>-39.299717520068199</c:v>
                </c:pt>
                <c:pt idx="326">
                  <c:v>-39.299852192402625</c:v>
                </c:pt>
                <c:pt idx="327">
                  <c:v>-39.299978540890308</c:v>
                </c:pt>
                <c:pt idx="328">
                  <c:v>-39.300097237538893</c:v>
                </c:pt>
                <c:pt idx="329">
                  <c:v>-39.300208887893021</c:v>
                </c:pt>
                <c:pt idx="330">
                  <c:v>-39.300314038767368</c:v>
                </c:pt>
                <c:pt idx="331">
                  <c:v>-39.300413184951545</c:v>
                </c:pt>
                <c:pt idx="332">
                  <c:v>-39.300506775037334</c:v>
                </c:pt>
                <c:pt idx="333">
                  <c:v>-39.300595216499843</c:v>
                </c:pt>
                <c:pt idx="334">
                  <c:v>-39.300678880137298</c:v>
                </c:pt>
                <c:pt idx="335">
                  <c:v>-39.30075810396211</c:v>
                </c:pt>
                <c:pt idx="336">
                  <c:v>-39.300833196618981</c:v>
                </c:pt>
                <c:pt idx="337">
                  <c:v>-39.300904440393737</c:v>
                </c:pt>
                <c:pt idx="338">
                  <c:v>-39.300972093869092</c:v>
                </c:pt>
                <c:pt idx="339">
                  <c:v>-39.301036394273297</c:v>
                </c:pt>
                <c:pt idx="340">
                  <c:v>-39.301097559561782</c:v>
                </c:pt>
                <c:pt idx="341">
                  <c:v>-39.301155790265739</c:v>
                </c:pt>
                <c:pt idx="342">
                  <c:v>-39.301211271137156</c:v>
                </c:pt>
                <c:pt idx="343">
                  <c:v>-39.301264172615603</c:v>
                </c:pt>
                <c:pt idx="344">
                  <c:v>-39.301314652138487</c:v>
                </c:pt>
                <c:pt idx="345">
                  <c:v>-39.301362855312689</c:v>
                </c:pt>
                <c:pt idx="346">
                  <c:v>-39.301408916966324</c:v>
                </c:pt>
                <c:pt idx="347">
                  <c:v>-39.301452962091375</c:v>
                </c:pt>
                <c:pt idx="348">
                  <c:v>-39.301495106693046</c:v>
                </c:pt>
                <c:pt idx="349">
                  <c:v>-39.301535458553488</c:v>
                </c:pt>
                <c:pt idx="350">
                  <c:v>-39.30157411792149</c:v>
                </c:pt>
                <c:pt idx="351">
                  <c:v>-39.301611178136334</c:v>
                </c:pt>
                <c:pt idx="352">
                  <c:v>-39.301646726190121</c:v>
                </c:pt>
                <c:pt idx="353">
                  <c:v>-39.3016808432399</c:v>
                </c:pt>
                <c:pt idx="354">
                  <c:v>-39.301713605070546</c:v>
                </c:pt>
                <c:pt idx="355">
                  <c:v>-39.301745082516035</c:v>
                </c:pt>
                <c:pt idx="356">
                  <c:v>-39.301775341842166</c:v>
                </c:pt>
                <c:pt idx="357">
                  <c:v>-39.30180444509628</c:v>
                </c:pt>
                <c:pt idx="358">
                  <c:v>-39.301832450424676</c:v>
                </c:pt>
                <c:pt idx="359">
                  <c:v>-39.301859412363918</c:v>
                </c:pt>
                <c:pt idx="360">
                  <c:v>-39.301885382105873</c:v>
                </c:pt>
                <c:pt idx="361">
                  <c:v>-39.301910407741282</c:v>
                </c:pt>
                <c:pt idx="362">
                  <c:v>-39.301934534482236</c:v>
                </c:pt>
                <c:pt idx="363">
                  <c:v>-39.301957804866483</c:v>
                </c:pt>
                <c:pt idx="364">
                  <c:v>-39.301980258945314</c:v>
                </c:pt>
                <c:pt idx="365">
                  <c:v>-39.302001934455554</c:v>
                </c:pt>
                <c:pt idx="366">
                  <c:v>-39.302022866978582</c:v>
                </c:pt>
                <c:pt idx="367">
                  <c:v>-39.302043090085988</c:v>
                </c:pt>
                <c:pt idx="368">
                  <c:v>-39.302062635474812</c:v>
                </c:pt>
                <c:pt idx="369">
                  <c:v>-39.302081533091126</c:v>
                </c:pt>
                <c:pt idx="370">
                  <c:v>-39.302099811245363</c:v>
                </c:pt>
                <c:pt idx="371">
                  <c:v>-39.302117496718026</c:v>
                </c:pt>
                <c:pt idx="372">
                  <c:v>-39.302134614857934</c:v>
                </c:pt>
                <c:pt idx="373">
                  <c:v>-39.30215118967326</c:v>
                </c:pt>
                <c:pt idx="374">
                  <c:v>-39.302167243915406</c:v>
                </c:pt>
                <c:pt idx="375">
                  <c:v>-39.302182799157293</c:v>
                </c:pt>
                <c:pt idx="376">
                  <c:v>-39.302197875866057</c:v>
                </c:pt>
                <c:pt idx="377">
                  <c:v>-39.302212493469938</c:v>
                </c:pt>
                <c:pt idx="378">
                  <c:v>-39.30222667042127</c:v>
                </c:pt>
                <c:pt idx="379">
                  <c:v>-39.302240424254549</c:v>
                </c:pt>
              </c:numCache>
            </c:numRef>
          </c:yVal>
          <c:smooth val="1"/>
          <c:extLst>
            <c:ext xmlns:c16="http://schemas.microsoft.com/office/drawing/2014/chart" uri="{C3380CC4-5D6E-409C-BE32-E72D297353CC}">
              <c16:uniqueId val="{00000000-0473-4151-A6D2-013976BBB783}"/>
            </c:ext>
          </c:extLst>
        </c:ser>
        <c:ser>
          <c:idx val="1"/>
          <c:order val="2"/>
          <c:tx>
            <c:v>fc</c:v>
          </c:tx>
          <c:spPr>
            <a:ln w="19050" cap="rnd" cmpd="sng" algn="ctr">
              <a:solidFill>
                <a:schemeClr val="dk1">
                  <a:tint val="55000"/>
                </a:schemeClr>
              </a:solidFill>
              <a:prstDash val="solid"/>
              <a:round/>
            </a:ln>
            <a:effectLst/>
          </c:spPr>
          <c:marker>
            <c:symbol val="diamond"/>
            <c:size val="12"/>
            <c:spPr>
              <a:solidFill>
                <a:schemeClr val="tx1"/>
              </a:solidFill>
              <a:ln w="6350" cap="flat" cmpd="sng" algn="ctr">
                <a:solidFill>
                  <a:schemeClr val="dk1">
                    <a:tint val="55000"/>
                  </a:schemeClr>
                </a:solidFill>
                <a:prstDash val="solid"/>
                <a:round/>
              </a:ln>
              <a:effectLst/>
            </c:spPr>
          </c:marker>
          <c:dLbls>
            <c:numFmt formatCode="0.00" sourceLinked="0"/>
            <c:spPr>
              <a:solidFill>
                <a:schemeClr val="tx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en-US"/>
              </a:p>
            </c:txPr>
            <c:dLblPos val="t"/>
            <c:showLegendKey val="0"/>
            <c:showVal val="0"/>
            <c:showCatName val="1"/>
            <c:showSerName val="1"/>
            <c:showPercent val="0"/>
            <c:showBubbleSize val="0"/>
            <c:showLeaderLines val="0"/>
            <c:extLst>
              <c:ext xmlns:c15="http://schemas.microsoft.com/office/drawing/2012/chart" uri="{CE6537A1-D6FC-4f65-9D91-7224C49458BB}">
                <c15:showLeaderLines val="0"/>
              </c:ext>
            </c:extLst>
          </c:dLbls>
          <c:xVal>
            <c:numRef>
              <c:f>'Loop Gain'!$AD$5</c:f>
              <c:numCache>
                <c:formatCode>General</c:formatCode>
                <c:ptCount val="1"/>
                <c:pt idx="0">
                  <c:v>429.71834634811745</c:v>
                </c:pt>
              </c:numCache>
            </c:numRef>
          </c:xVal>
          <c:yVal>
            <c:numRef>
              <c:f>'Loop Gain'!$AD$2</c:f>
              <c:numCache>
                <c:formatCode>General</c:formatCode>
                <c:ptCount val="1"/>
                <c:pt idx="0">
                  <c:v>-1.8374515139694125E-3</c:v>
                </c:pt>
              </c:numCache>
            </c:numRef>
          </c:yVal>
          <c:smooth val="1"/>
          <c:extLst>
            <c:ext xmlns:c16="http://schemas.microsoft.com/office/drawing/2014/chart" uri="{C3380CC4-5D6E-409C-BE32-E72D297353CC}">
              <c16:uniqueId val="{0000017D-9F5F-496F-B647-47B4282EE6C5}"/>
            </c:ext>
          </c:extLst>
        </c:ser>
        <c:dLbls>
          <c:showLegendKey val="0"/>
          <c:showVal val="0"/>
          <c:showCatName val="0"/>
          <c:showSerName val="0"/>
          <c:showPercent val="0"/>
          <c:showBubbleSize val="0"/>
        </c:dLbls>
        <c:axId val="1434155088"/>
        <c:axId val="1570699712"/>
      </c:scatterChart>
      <c:scatterChart>
        <c:scatterStyle val="smoothMarker"/>
        <c:varyColors val="0"/>
        <c:ser>
          <c:idx val="2"/>
          <c:order val="1"/>
          <c:tx>
            <c:v>Phase (deg)</c:v>
          </c:tx>
          <c:spPr>
            <a:ln w="19050" cap="rnd" cmpd="sng" algn="ctr">
              <a:solidFill>
                <a:schemeClr val="tx1"/>
              </a:solidFill>
              <a:prstDash val="dash"/>
              <a:round/>
            </a:ln>
            <a:effectLst/>
          </c:spPr>
          <c:marker>
            <c:symbol val="none"/>
          </c:marker>
          <c:xVal>
            <c:numRef>
              <c:f>'Loop Gain'!$Z$2:$Z$381</c:f>
              <c:numCache>
                <c:formatCode>General</c:formatCode>
                <c:ptCount val="380"/>
                <c:pt idx="0">
                  <c:v>0.15915494309189535</c:v>
                </c:pt>
                <c:pt idx="1">
                  <c:v>1.5915494309189535</c:v>
                </c:pt>
                <c:pt idx="2">
                  <c:v>3.183098861837907</c:v>
                </c:pt>
                <c:pt idx="3">
                  <c:v>4.7746482927568605</c:v>
                </c:pt>
                <c:pt idx="4">
                  <c:v>6.366197723675814</c:v>
                </c:pt>
                <c:pt idx="5">
                  <c:v>7.9577471545947667</c:v>
                </c:pt>
                <c:pt idx="6">
                  <c:v>9.5492965855137211</c:v>
                </c:pt>
                <c:pt idx="7">
                  <c:v>11.140846016432674</c:v>
                </c:pt>
                <c:pt idx="8">
                  <c:v>12.732395447351628</c:v>
                </c:pt>
                <c:pt idx="9">
                  <c:v>14.323944878270581</c:v>
                </c:pt>
                <c:pt idx="10">
                  <c:v>15.915494309189533</c:v>
                </c:pt>
                <c:pt idx="11">
                  <c:v>31.830988618379067</c:v>
                </c:pt>
                <c:pt idx="12">
                  <c:v>47.7464829275686</c:v>
                </c:pt>
                <c:pt idx="13">
                  <c:v>63.661977236758133</c:v>
                </c:pt>
                <c:pt idx="14">
                  <c:v>79.577471545947674</c:v>
                </c:pt>
                <c:pt idx="15">
                  <c:v>95.4929658551372</c:v>
                </c:pt>
                <c:pt idx="16">
                  <c:v>111.40846016432674</c:v>
                </c:pt>
                <c:pt idx="17">
                  <c:v>127.32395447351627</c:v>
                </c:pt>
                <c:pt idx="18">
                  <c:v>143.23944878270581</c:v>
                </c:pt>
                <c:pt idx="19">
                  <c:v>159.15494309189535</c:v>
                </c:pt>
                <c:pt idx="20">
                  <c:v>175.07043740108489</c:v>
                </c:pt>
                <c:pt idx="21">
                  <c:v>190.9859317102744</c:v>
                </c:pt>
                <c:pt idx="22">
                  <c:v>206.90142601946394</c:v>
                </c:pt>
                <c:pt idx="23">
                  <c:v>222.81692032865348</c:v>
                </c:pt>
                <c:pt idx="24">
                  <c:v>238.73241463784302</c:v>
                </c:pt>
                <c:pt idx="25">
                  <c:v>254.64790894703253</c:v>
                </c:pt>
                <c:pt idx="26">
                  <c:v>270.5634032562221</c:v>
                </c:pt>
                <c:pt idx="27">
                  <c:v>286.47889756541161</c:v>
                </c:pt>
                <c:pt idx="28">
                  <c:v>302.39439187460113</c:v>
                </c:pt>
                <c:pt idx="29">
                  <c:v>318.3098861837907</c:v>
                </c:pt>
                <c:pt idx="30">
                  <c:v>334.22538049298021</c:v>
                </c:pt>
                <c:pt idx="31">
                  <c:v>350.14087480216978</c:v>
                </c:pt>
                <c:pt idx="32">
                  <c:v>366.05636911135929</c:v>
                </c:pt>
                <c:pt idx="33">
                  <c:v>381.9718634205488</c:v>
                </c:pt>
                <c:pt idx="34">
                  <c:v>397.88735772973837</c:v>
                </c:pt>
                <c:pt idx="35">
                  <c:v>413.80285203892788</c:v>
                </c:pt>
                <c:pt idx="36">
                  <c:v>429.71834634811745</c:v>
                </c:pt>
                <c:pt idx="37">
                  <c:v>445.63384065730696</c:v>
                </c:pt>
                <c:pt idx="38">
                  <c:v>461.54933496649647</c:v>
                </c:pt>
                <c:pt idx="39">
                  <c:v>477.46482927568604</c:v>
                </c:pt>
                <c:pt idx="40">
                  <c:v>493.38032358487555</c:v>
                </c:pt>
                <c:pt idx="41">
                  <c:v>509.29581789406507</c:v>
                </c:pt>
                <c:pt idx="42">
                  <c:v>525.21131220325458</c:v>
                </c:pt>
                <c:pt idx="43">
                  <c:v>541.1268065124442</c:v>
                </c:pt>
                <c:pt idx="44">
                  <c:v>557.04230082163372</c:v>
                </c:pt>
                <c:pt idx="45">
                  <c:v>572.95779513082323</c:v>
                </c:pt>
                <c:pt idx="46">
                  <c:v>588.87328944001274</c:v>
                </c:pt>
                <c:pt idx="47">
                  <c:v>604.78878374920225</c:v>
                </c:pt>
                <c:pt idx="48">
                  <c:v>620.70427805839188</c:v>
                </c:pt>
                <c:pt idx="49">
                  <c:v>636.61977236758139</c:v>
                </c:pt>
                <c:pt idx="50">
                  <c:v>652.5352666767709</c:v>
                </c:pt>
                <c:pt idx="51">
                  <c:v>668.45076098596041</c:v>
                </c:pt>
                <c:pt idx="52">
                  <c:v>684.36625529514993</c:v>
                </c:pt>
                <c:pt idx="53">
                  <c:v>700.28174960433955</c:v>
                </c:pt>
                <c:pt idx="54">
                  <c:v>716.19724391352906</c:v>
                </c:pt>
                <c:pt idx="55">
                  <c:v>732.11273822271858</c:v>
                </c:pt>
                <c:pt idx="56">
                  <c:v>748.02823253190809</c:v>
                </c:pt>
                <c:pt idx="57">
                  <c:v>763.9437268410976</c:v>
                </c:pt>
                <c:pt idx="58">
                  <c:v>779.85922115028723</c:v>
                </c:pt>
                <c:pt idx="59">
                  <c:v>795.77471545947674</c:v>
                </c:pt>
                <c:pt idx="60">
                  <c:v>811.69020976866625</c:v>
                </c:pt>
                <c:pt idx="61">
                  <c:v>827.60570407785576</c:v>
                </c:pt>
                <c:pt idx="62">
                  <c:v>843.52119838704527</c:v>
                </c:pt>
                <c:pt idx="63">
                  <c:v>859.4366926962349</c:v>
                </c:pt>
                <c:pt idx="64">
                  <c:v>875.35218700542441</c:v>
                </c:pt>
                <c:pt idx="65">
                  <c:v>891.26768131461392</c:v>
                </c:pt>
                <c:pt idx="66">
                  <c:v>907.18317562380344</c:v>
                </c:pt>
                <c:pt idx="67">
                  <c:v>923.09866993299295</c:v>
                </c:pt>
                <c:pt idx="68">
                  <c:v>939.01416424218257</c:v>
                </c:pt>
                <c:pt idx="69">
                  <c:v>954.92965855137209</c:v>
                </c:pt>
                <c:pt idx="70">
                  <c:v>970.8451528605616</c:v>
                </c:pt>
                <c:pt idx="71">
                  <c:v>986.76064716975111</c:v>
                </c:pt>
                <c:pt idx="72">
                  <c:v>1002.6761414789406</c:v>
                </c:pt>
                <c:pt idx="73">
                  <c:v>1018.5916357881301</c:v>
                </c:pt>
                <c:pt idx="74">
                  <c:v>1034.5071300973198</c:v>
                </c:pt>
                <c:pt idx="75">
                  <c:v>1050.4226244065092</c:v>
                </c:pt>
                <c:pt idx="76">
                  <c:v>1066.3381187156988</c:v>
                </c:pt>
                <c:pt idx="77">
                  <c:v>1082.2536130248884</c:v>
                </c:pt>
                <c:pt idx="78">
                  <c:v>1098.1691073340778</c:v>
                </c:pt>
                <c:pt idx="79">
                  <c:v>1114.0846016432674</c:v>
                </c:pt>
                <c:pt idx="80">
                  <c:v>1130.0000959524568</c:v>
                </c:pt>
                <c:pt idx="81">
                  <c:v>1145.9155902616465</c:v>
                </c:pt>
                <c:pt idx="82">
                  <c:v>1161.8310845708361</c:v>
                </c:pt>
                <c:pt idx="83">
                  <c:v>1177.7465788800255</c:v>
                </c:pt>
                <c:pt idx="84">
                  <c:v>1193.6620731892151</c:v>
                </c:pt>
                <c:pt idx="85">
                  <c:v>1209.5775674984045</c:v>
                </c:pt>
                <c:pt idx="86">
                  <c:v>1225.4930618075941</c:v>
                </c:pt>
                <c:pt idx="87">
                  <c:v>1241.4085561167838</c:v>
                </c:pt>
                <c:pt idx="88">
                  <c:v>1257.3240504259732</c:v>
                </c:pt>
                <c:pt idx="89">
                  <c:v>1273.2395447351628</c:v>
                </c:pt>
                <c:pt idx="90">
                  <c:v>1289.1550390443522</c:v>
                </c:pt>
                <c:pt idx="91">
                  <c:v>1305.0705333535418</c:v>
                </c:pt>
                <c:pt idx="92">
                  <c:v>1320.9860276627314</c:v>
                </c:pt>
                <c:pt idx="93">
                  <c:v>1336.9015219719208</c:v>
                </c:pt>
                <c:pt idx="94">
                  <c:v>1352.8170162811105</c:v>
                </c:pt>
                <c:pt idx="95">
                  <c:v>1368.7325105902999</c:v>
                </c:pt>
                <c:pt idx="96">
                  <c:v>1384.6480048994895</c:v>
                </c:pt>
                <c:pt idx="97">
                  <c:v>1400.5634992086791</c:v>
                </c:pt>
                <c:pt idx="98">
                  <c:v>1416.4789935178685</c:v>
                </c:pt>
                <c:pt idx="99">
                  <c:v>1432.3944878270581</c:v>
                </c:pt>
                <c:pt idx="100">
                  <c:v>1448.3099821362475</c:v>
                </c:pt>
                <c:pt idx="101">
                  <c:v>1464.2254764454372</c:v>
                </c:pt>
                <c:pt idx="102">
                  <c:v>1480.1409707546268</c:v>
                </c:pt>
                <c:pt idx="103">
                  <c:v>1496.0564650638162</c:v>
                </c:pt>
                <c:pt idx="104">
                  <c:v>1511.9719593730058</c:v>
                </c:pt>
                <c:pt idx="105">
                  <c:v>1527.8874536821952</c:v>
                </c:pt>
                <c:pt idx="106">
                  <c:v>1543.8029479913848</c:v>
                </c:pt>
                <c:pt idx="107">
                  <c:v>1559.7184423005745</c:v>
                </c:pt>
                <c:pt idx="108">
                  <c:v>1575.6339366097639</c:v>
                </c:pt>
                <c:pt idx="109">
                  <c:v>1591.5494309189535</c:v>
                </c:pt>
                <c:pt idx="110">
                  <c:v>1750.7043740108488</c:v>
                </c:pt>
                <c:pt idx="111">
                  <c:v>1909.8593171027442</c:v>
                </c:pt>
                <c:pt idx="112">
                  <c:v>2069.0142601946395</c:v>
                </c:pt>
                <c:pt idx="113">
                  <c:v>2228.1692032865349</c:v>
                </c:pt>
                <c:pt idx="114">
                  <c:v>2387.3241463784302</c:v>
                </c:pt>
                <c:pt idx="115">
                  <c:v>2546.4790894703256</c:v>
                </c:pt>
                <c:pt idx="116">
                  <c:v>2705.6340325622209</c:v>
                </c:pt>
                <c:pt idx="117">
                  <c:v>2864.7889756541163</c:v>
                </c:pt>
                <c:pt idx="118">
                  <c:v>3023.9439187460116</c:v>
                </c:pt>
                <c:pt idx="119">
                  <c:v>3183.098861837907</c:v>
                </c:pt>
                <c:pt idx="120">
                  <c:v>3342.2538049298023</c:v>
                </c:pt>
                <c:pt idx="121">
                  <c:v>3501.4087480216976</c:v>
                </c:pt>
                <c:pt idx="122">
                  <c:v>3660.563691113593</c:v>
                </c:pt>
                <c:pt idx="123">
                  <c:v>3819.7186342054883</c:v>
                </c:pt>
                <c:pt idx="124">
                  <c:v>3978.8735772973837</c:v>
                </c:pt>
                <c:pt idx="125">
                  <c:v>4138.028520389279</c:v>
                </c:pt>
                <c:pt idx="126">
                  <c:v>4297.1834634811739</c:v>
                </c:pt>
                <c:pt idx="127">
                  <c:v>4456.3384065730697</c:v>
                </c:pt>
                <c:pt idx="128">
                  <c:v>4615.4933496649646</c:v>
                </c:pt>
                <c:pt idx="129">
                  <c:v>4774.6482927568604</c:v>
                </c:pt>
                <c:pt idx="130">
                  <c:v>4933.8032358487553</c:v>
                </c:pt>
                <c:pt idx="131">
                  <c:v>5092.9581789406511</c:v>
                </c:pt>
                <c:pt idx="132">
                  <c:v>5252.113122032546</c:v>
                </c:pt>
                <c:pt idx="133">
                  <c:v>5411.2680651244418</c:v>
                </c:pt>
                <c:pt idx="134">
                  <c:v>5570.4230082163367</c:v>
                </c:pt>
                <c:pt idx="135">
                  <c:v>5729.5779513082325</c:v>
                </c:pt>
                <c:pt idx="136">
                  <c:v>5888.7328944001274</c:v>
                </c:pt>
                <c:pt idx="137">
                  <c:v>6047.8878374920232</c:v>
                </c:pt>
                <c:pt idx="138">
                  <c:v>6207.0427805839181</c:v>
                </c:pt>
                <c:pt idx="139">
                  <c:v>6366.1977236758139</c:v>
                </c:pt>
                <c:pt idx="140">
                  <c:v>6525.3526667677088</c:v>
                </c:pt>
                <c:pt idx="141">
                  <c:v>6684.5076098596046</c:v>
                </c:pt>
                <c:pt idx="142">
                  <c:v>6843.6625529514995</c:v>
                </c:pt>
                <c:pt idx="143">
                  <c:v>7002.8174960433953</c:v>
                </c:pt>
                <c:pt idx="144">
                  <c:v>7161.9724391352902</c:v>
                </c:pt>
                <c:pt idx="145">
                  <c:v>7321.127382227186</c:v>
                </c:pt>
                <c:pt idx="146">
                  <c:v>7480.2823253190809</c:v>
                </c:pt>
                <c:pt idx="147">
                  <c:v>7639.4372684109767</c:v>
                </c:pt>
                <c:pt idx="148">
                  <c:v>7798.5922115028716</c:v>
                </c:pt>
                <c:pt idx="149">
                  <c:v>7957.7471545947674</c:v>
                </c:pt>
                <c:pt idx="150">
                  <c:v>8116.9020976866623</c:v>
                </c:pt>
                <c:pt idx="151">
                  <c:v>8276.0570407785581</c:v>
                </c:pt>
                <c:pt idx="152">
                  <c:v>8435.211983870453</c:v>
                </c:pt>
                <c:pt idx="153">
                  <c:v>8594.3669269623479</c:v>
                </c:pt>
                <c:pt idx="154">
                  <c:v>8753.5218700542446</c:v>
                </c:pt>
                <c:pt idx="155">
                  <c:v>8912.6768131461395</c:v>
                </c:pt>
                <c:pt idx="156">
                  <c:v>9071.8317562380344</c:v>
                </c:pt>
                <c:pt idx="157">
                  <c:v>9230.9866993299293</c:v>
                </c:pt>
                <c:pt idx="158">
                  <c:v>9390.141642421826</c:v>
                </c:pt>
                <c:pt idx="159">
                  <c:v>9549.2965855137209</c:v>
                </c:pt>
                <c:pt idx="160">
                  <c:v>9708.4515286056157</c:v>
                </c:pt>
                <c:pt idx="161">
                  <c:v>9867.6064716975106</c:v>
                </c:pt>
                <c:pt idx="162">
                  <c:v>10026.761414789407</c:v>
                </c:pt>
                <c:pt idx="163">
                  <c:v>10185.916357881302</c:v>
                </c:pt>
                <c:pt idx="164">
                  <c:v>10345.071300973197</c:v>
                </c:pt>
                <c:pt idx="165">
                  <c:v>10504.226244065092</c:v>
                </c:pt>
                <c:pt idx="166">
                  <c:v>10663.381187156989</c:v>
                </c:pt>
                <c:pt idx="167">
                  <c:v>10822.536130248884</c:v>
                </c:pt>
                <c:pt idx="168">
                  <c:v>10981.691073340779</c:v>
                </c:pt>
                <c:pt idx="169">
                  <c:v>11140.846016432673</c:v>
                </c:pt>
                <c:pt idx="170">
                  <c:v>11300.00095952457</c:v>
                </c:pt>
                <c:pt idx="171">
                  <c:v>11459.155902616465</c:v>
                </c:pt>
                <c:pt idx="172">
                  <c:v>11618.31084570836</c:v>
                </c:pt>
                <c:pt idx="173">
                  <c:v>11777.465788800255</c:v>
                </c:pt>
                <c:pt idx="174">
                  <c:v>11936.620731892152</c:v>
                </c:pt>
                <c:pt idx="175">
                  <c:v>12095.775674984046</c:v>
                </c:pt>
                <c:pt idx="176">
                  <c:v>12254.930618075941</c:v>
                </c:pt>
                <c:pt idx="177">
                  <c:v>12414.085561167836</c:v>
                </c:pt>
                <c:pt idx="178">
                  <c:v>12573.240504259733</c:v>
                </c:pt>
                <c:pt idx="179">
                  <c:v>12732.395447351628</c:v>
                </c:pt>
                <c:pt idx="180">
                  <c:v>12891.550390443523</c:v>
                </c:pt>
                <c:pt idx="181">
                  <c:v>13050.705333535418</c:v>
                </c:pt>
                <c:pt idx="182">
                  <c:v>13209.860276627312</c:v>
                </c:pt>
                <c:pt idx="183">
                  <c:v>13369.015219719209</c:v>
                </c:pt>
                <c:pt idx="184">
                  <c:v>13528.170162811104</c:v>
                </c:pt>
                <c:pt idx="185">
                  <c:v>13687.325105902999</c:v>
                </c:pt>
                <c:pt idx="186">
                  <c:v>13846.480048994894</c:v>
                </c:pt>
                <c:pt idx="187">
                  <c:v>14005.634992086791</c:v>
                </c:pt>
                <c:pt idx="188">
                  <c:v>14164.789935178685</c:v>
                </c:pt>
                <c:pt idx="189">
                  <c:v>14323.94487827058</c:v>
                </c:pt>
                <c:pt idx="190">
                  <c:v>14483.099821362475</c:v>
                </c:pt>
                <c:pt idx="191">
                  <c:v>14642.254764454372</c:v>
                </c:pt>
                <c:pt idx="192">
                  <c:v>14801.409707546267</c:v>
                </c:pt>
                <c:pt idx="193">
                  <c:v>14960.564650638162</c:v>
                </c:pt>
                <c:pt idx="194">
                  <c:v>15119.719593730057</c:v>
                </c:pt>
                <c:pt idx="195">
                  <c:v>15278.874536821953</c:v>
                </c:pt>
                <c:pt idx="196">
                  <c:v>15438.029479913848</c:v>
                </c:pt>
                <c:pt idx="197">
                  <c:v>15597.184423005743</c:v>
                </c:pt>
                <c:pt idx="198">
                  <c:v>15756.339366097638</c:v>
                </c:pt>
                <c:pt idx="199">
                  <c:v>15915.494309189535</c:v>
                </c:pt>
                <c:pt idx="200">
                  <c:v>17507.043740108489</c:v>
                </c:pt>
                <c:pt idx="201">
                  <c:v>19098.593171027442</c:v>
                </c:pt>
                <c:pt idx="202">
                  <c:v>20690.142601946394</c:v>
                </c:pt>
                <c:pt idx="203">
                  <c:v>22281.692032865347</c:v>
                </c:pt>
                <c:pt idx="204">
                  <c:v>23873.241463784303</c:v>
                </c:pt>
                <c:pt idx="205">
                  <c:v>25464.790894703256</c:v>
                </c:pt>
                <c:pt idx="206">
                  <c:v>27056.340325622208</c:v>
                </c:pt>
                <c:pt idx="207">
                  <c:v>28647.889756541161</c:v>
                </c:pt>
                <c:pt idx="208">
                  <c:v>30239.439187460113</c:v>
                </c:pt>
                <c:pt idx="209">
                  <c:v>31830.98861837907</c:v>
                </c:pt>
                <c:pt idx="210">
                  <c:v>33422.538049298018</c:v>
                </c:pt>
                <c:pt idx="211">
                  <c:v>35014.087480216978</c:v>
                </c:pt>
                <c:pt idx="212">
                  <c:v>36605.636911135931</c:v>
                </c:pt>
                <c:pt idx="213">
                  <c:v>38197.186342054883</c:v>
                </c:pt>
                <c:pt idx="214">
                  <c:v>39788.735772973836</c:v>
                </c:pt>
                <c:pt idx="215">
                  <c:v>41380.285203892789</c:v>
                </c:pt>
                <c:pt idx="216">
                  <c:v>42971.834634811741</c:v>
                </c:pt>
                <c:pt idx="217">
                  <c:v>44563.384065730694</c:v>
                </c:pt>
                <c:pt idx="218">
                  <c:v>46154.933496649646</c:v>
                </c:pt>
                <c:pt idx="219">
                  <c:v>47746.482927568606</c:v>
                </c:pt>
                <c:pt idx="220">
                  <c:v>49338.032358487559</c:v>
                </c:pt>
                <c:pt idx="221">
                  <c:v>50929.581789406511</c:v>
                </c:pt>
                <c:pt idx="222">
                  <c:v>52521.131220325464</c:v>
                </c:pt>
                <c:pt idx="223">
                  <c:v>54112.680651244416</c:v>
                </c:pt>
                <c:pt idx="224">
                  <c:v>55704.230082163369</c:v>
                </c:pt>
                <c:pt idx="225">
                  <c:v>57295.779513082322</c:v>
                </c:pt>
                <c:pt idx="226">
                  <c:v>58887.328944001274</c:v>
                </c:pt>
                <c:pt idx="227">
                  <c:v>60478.878374920227</c:v>
                </c:pt>
                <c:pt idx="228">
                  <c:v>62070.427805839186</c:v>
                </c:pt>
                <c:pt idx="229">
                  <c:v>63661.977236758139</c:v>
                </c:pt>
                <c:pt idx="230">
                  <c:v>65253.526667677092</c:v>
                </c:pt>
                <c:pt idx="231">
                  <c:v>66845.076098596037</c:v>
                </c:pt>
                <c:pt idx="232">
                  <c:v>68436.625529515004</c:v>
                </c:pt>
                <c:pt idx="233">
                  <c:v>70028.174960433957</c:v>
                </c:pt>
                <c:pt idx="234">
                  <c:v>71619.724391352909</c:v>
                </c:pt>
                <c:pt idx="235">
                  <c:v>73211.273822271862</c:v>
                </c:pt>
                <c:pt idx="236">
                  <c:v>74802.823253190814</c:v>
                </c:pt>
                <c:pt idx="237">
                  <c:v>76394.372684109767</c:v>
                </c:pt>
                <c:pt idx="238">
                  <c:v>77985.922115028719</c:v>
                </c:pt>
                <c:pt idx="239">
                  <c:v>79577.471545947672</c:v>
                </c:pt>
                <c:pt idx="240">
                  <c:v>81169.020976866625</c:v>
                </c:pt>
                <c:pt idx="241">
                  <c:v>82760.570407785577</c:v>
                </c:pt>
                <c:pt idx="242">
                  <c:v>84352.11983870453</c:v>
                </c:pt>
                <c:pt idx="243">
                  <c:v>85943.669269623482</c:v>
                </c:pt>
                <c:pt idx="244">
                  <c:v>87535.218700542435</c:v>
                </c:pt>
                <c:pt idx="245">
                  <c:v>89126.768131461387</c:v>
                </c:pt>
                <c:pt idx="246">
                  <c:v>90718.31756238034</c:v>
                </c:pt>
                <c:pt idx="247">
                  <c:v>92309.866993299293</c:v>
                </c:pt>
                <c:pt idx="248">
                  <c:v>93901.416424218245</c:v>
                </c:pt>
                <c:pt idx="249">
                  <c:v>95492.965855137212</c:v>
                </c:pt>
                <c:pt idx="250">
                  <c:v>97084.515286056165</c:v>
                </c:pt>
                <c:pt idx="251">
                  <c:v>98676.064716975117</c:v>
                </c:pt>
                <c:pt idx="252">
                  <c:v>100267.61414789407</c:v>
                </c:pt>
                <c:pt idx="253">
                  <c:v>101859.16357881302</c:v>
                </c:pt>
                <c:pt idx="254">
                  <c:v>103450.71300973198</c:v>
                </c:pt>
                <c:pt idx="255">
                  <c:v>105042.26244065093</c:v>
                </c:pt>
                <c:pt idx="256">
                  <c:v>106633.81187156988</c:v>
                </c:pt>
                <c:pt idx="257">
                  <c:v>108225.36130248883</c:v>
                </c:pt>
                <c:pt idx="258">
                  <c:v>109816.91073340779</c:v>
                </c:pt>
                <c:pt idx="259">
                  <c:v>111408.46016432674</c:v>
                </c:pt>
                <c:pt idx="260">
                  <c:v>113000.00959524569</c:v>
                </c:pt>
                <c:pt idx="261">
                  <c:v>114591.55902616464</c:v>
                </c:pt>
                <c:pt idx="262">
                  <c:v>116183.1084570836</c:v>
                </c:pt>
                <c:pt idx="263">
                  <c:v>117774.65788800255</c:v>
                </c:pt>
                <c:pt idx="264">
                  <c:v>119366.2073189215</c:v>
                </c:pt>
                <c:pt idx="265">
                  <c:v>120957.75674984045</c:v>
                </c:pt>
                <c:pt idx="266">
                  <c:v>122549.30618075942</c:v>
                </c:pt>
                <c:pt idx="267">
                  <c:v>124140.85561167837</c:v>
                </c:pt>
                <c:pt idx="268">
                  <c:v>125732.40504259733</c:v>
                </c:pt>
                <c:pt idx="269">
                  <c:v>127323.95447351628</c:v>
                </c:pt>
                <c:pt idx="270">
                  <c:v>128915.50390443523</c:v>
                </c:pt>
                <c:pt idx="271">
                  <c:v>130507.05333535418</c:v>
                </c:pt>
                <c:pt idx="272">
                  <c:v>132098.60276627314</c:v>
                </c:pt>
                <c:pt idx="273">
                  <c:v>133690.15219719207</c:v>
                </c:pt>
                <c:pt idx="274">
                  <c:v>135281.70162811104</c:v>
                </c:pt>
                <c:pt idx="275">
                  <c:v>136873.25105903001</c:v>
                </c:pt>
                <c:pt idx="276">
                  <c:v>138464.80048994895</c:v>
                </c:pt>
                <c:pt idx="277">
                  <c:v>140056.34992086791</c:v>
                </c:pt>
                <c:pt idx="278">
                  <c:v>141647.89935178685</c:v>
                </c:pt>
                <c:pt idx="279">
                  <c:v>143239.44878270582</c:v>
                </c:pt>
                <c:pt idx="280">
                  <c:v>144830.99821362476</c:v>
                </c:pt>
                <c:pt idx="281">
                  <c:v>146422.54764454372</c:v>
                </c:pt>
                <c:pt idx="282">
                  <c:v>148014.09707546266</c:v>
                </c:pt>
                <c:pt idx="283">
                  <c:v>149605.64650638163</c:v>
                </c:pt>
                <c:pt idx="284">
                  <c:v>151197.19593730057</c:v>
                </c:pt>
                <c:pt idx="285">
                  <c:v>152788.74536821953</c:v>
                </c:pt>
                <c:pt idx="286">
                  <c:v>154380.29479913847</c:v>
                </c:pt>
                <c:pt idx="287">
                  <c:v>155971.84423005744</c:v>
                </c:pt>
                <c:pt idx="288">
                  <c:v>157563.39366097638</c:v>
                </c:pt>
                <c:pt idx="289">
                  <c:v>159154.94309189534</c:v>
                </c:pt>
                <c:pt idx="290">
                  <c:v>175070.43740108487</c:v>
                </c:pt>
                <c:pt idx="291">
                  <c:v>190985.93171027442</c:v>
                </c:pt>
                <c:pt idx="292">
                  <c:v>206901.42601946395</c:v>
                </c:pt>
                <c:pt idx="293">
                  <c:v>222816.92032865348</c:v>
                </c:pt>
                <c:pt idx="294">
                  <c:v>238732.414637843</c:v>
                </c:pt>
                <c:pt idx="295">
                  <c:v>254647.90894703256</c:v>
                </c:pt>
                <c:pt idx="296">
                  <c:v>270563.40325622208</c:v>
                </c:pt>
                <c:pt idx="297">
                  <c:v>286478.89756541164</c:v>
                </c:pt>
                <c:pt idx="298">
                  <c:v>302394.39187460113</c:v>
                </c:pt>
                <c:pt idx="299">
                  <c:v>318309.88618379069</c:v>
                </c:pt>
                <c:pt idx="300">
                  <c:v>334225.38049298024</c:v>
                </c:pt>
                <c:pt idx="301">
                  <c:v>350140.87480216974</c:v>
                </c:pt>
                <c:pt idx="302">
                  <c:v>366056.36911135929</c:v>
                </c:pt>
                <c:pt idx="303">
                  <c:v>381971.86342054885</c:v>
                </c:pt>
                <c:pt idx="304">
                  <c:v>397887.35772973835</c:v>
                </c:pt>
                <c:pt idx="305">
                  <c:v>413802.8520389279</c:v>
                </c:pt>
                <c:pt idx="306">
                  <c:v>429718.3463481174</c:v>
                </c:pt>
                <c:pt idx="307">
                  <c:v>445633.84065730695</c:v>
                </c:pt>
                <c:pt idx="308">
                  <c:v>461549.33496649651</c:v>
                </c:pt>
                <c:pt idx="309">
                  <c:v>477464.829275686</c:v>
                </c:pt>
                <c:pt idx="310">
                  <c:v>493380.32358487556</c:v>
                </c:pt>
                <c:pt idx="311">
                  <c:v>509295.81789406511</c:v>
                </c:pt>
                <c:pt idx="312">
                  <c:v>525211.31220325467</c:v>
                </c:pt>
                <c:pt idx="313">
                  <c:v>541126.80651244416</c:v>
                </c:pt>
                <c:pt idx="314">
                  <c:v>557042.30082163366</c:v>
                </c:pt>
                <c:pt idx="315">
                  <c:v>572957.79513082327</c:v>
                </c:pt>
                <c:pt idx="316">
                  <c:v>588873.28944001277</c:v>
                </c:pt>
                <c:pt idx="317">
                  <c:v>604788.78374920227</c:v>
                </c:pt>
                <c:pt idx="318">
                  <c:v>620704.27805839188</c:v>
                </c:pt>
                <c:pt idx="319">
                  <c:v>636619.77236758138</c:v>
                </c:pt>
                <c:pt idx="320">
                  <c:v>652535.26667677087</c:v>
                </c:pt>
                <c:pt idx="321">
                  <c:v>668450.76098596049</c:v>
                </c:pt>
                <c:pt idx="322">
                  <c:v>684366.25529514998</c:v>
                </c:pt>
                <c:pt idx="323">
                  <c:v>700281.74960433948</c:v>
                </c:pt>
                <c:pt idx="324">
                  <c:v>716197.24391352909</c:v>
                </c:pt>
                <c:pt idx="325">
                  <c:v>732112.73822271859</c:v>
                </c:pt>
                <c:pt idx="326">
                  <c:v>748028.23253190808</c:v>
                </c:pt>
                <c:pt idx="327">
                  <c:v>763943.7268410977</c:v>
                </c:pt>
                <c:pt idx="328">
                  <c:v>779859.22115028719</c:v>
                </c:pt>
                <c:pt idx="329">
                  <c:v>795774.71545947669</c:v>
                </c:pt>
                <c:pt idx="330">
                  <c:v>811690.20976866619</c:v>
                </c:pt>
                <c:pt idx="331">
                  <c:v>827605.7040778558</c:v>
                </c:pt>
                <c:pt idx="332">
                  <c:v>843521.1983870453</c:v>
                </c:pt>
                <c:pt idx="333">
                  <c:v>859436.69269623479</c:v>
                </c:pt>
                <c:pt idx="334">
                  <c:v>875352.18700542441</c:v>
                </c:pt>
                <c:pt idx="335">
                  <c:v>891267.6813146139</c:v>
                </c:pt>
                <c:pt idx="336">
                  <c:v>907183.1756238034</c:v>
                </c:pt>
                <c:pt idx="337">
                  <c:v>923098.66993299301</c:v>
                </c:pt>
                <c:pt idx="338">
                  <c:v>939014.16424218251</c:v>
                </c:pt>
                <c:pt idx="339">
                  <c:v>954929.65855137201</c:v>
                </c:pt>
                <c:pt idx="340">
                  <c:v>970845.15286056162</c:v>
                </c:pt>
                <c:pt idx="341">
                  <c:v>986760.64716975112</c:v>
                </c:pt>
                <c:pt idx="342">
                  <c:v>1002676.1414789406</c:v>
                </c:pt>
                <c:pt idx="343">
                  <c:v>1018591.6357881302</c:v>
                </c:pt>
                <c:pt idx="344">
                  <c:v>1034507.1300973197</c:v>
                </c:pt>
                <c:pt idx="345">
                  <c:v>1050422.6244065093</c:v>
                </c:pt>
                <c:pt idx="346">
                  <c:v>1066338.1187156988</c:v>
                </c:pt>
                <c:pt idx="347">
                  <c:v>1082253.6130248883</c:v>
                </c:pt>
                <c:pt idx="348">
                  <c:v>1098169.1073340778</c:v>
                </c:pt>
                <c:pt idx="349">
                  <c:v>1114084.6016432673</c:v>
                </c:pt>
                <c:pt idx="350">
                  <c:v>1130000.0959524568</c:v>
                </c:pt>
                <c:pt idx="351">
                  <c:v>1145915.5902616465</c:v>
                </c:pt>
                <c:pt idx="352">
                  <c:v>1161831.084570836</c:v>
                </c:pt>
                <c:pt idx="353">
                  <c:v>1177746.5788800255</c:v>
                </c:pt>
                <c:pt idx="354">
                  <c:v>1193662.073189215</c:v>
                </c:pt>
                <c:pt idx="355">
                  <c:v>1209577.5674984045</c:v>
                </c:pt>
                <c:pt idx="356">
                  <c:v>1225493.061807594</c:v>
                </c:pt>
                <c:pt idx="357">
                  <c:v>1241408.5561167838</c:v>
                </c:pt>
                <c:pt idx="358">
                  <c:v>1257324.0504259733</c:v>
                </c:pt>
                <c:pt idx="359">
                  <c:v>1273239.5447351628</c:v>
                </c:pt>
                <c:pt idx="360">
                  <c:v>1289155.0390443522</c:v>
                </c:pt>
                <c:pt idx="361">
                  <c:v>1305070.5333535417</c:v>
                </c:pt>
                <c:pt idx="362">
                  <c:v>1320986.0276627312</c:v>
                </c:pt>
                <c:pt idx="363">
                  <c:v>1336901.521971921</c:v>
                </c:pt>
                <c:pt idx="364">
                  <c:v>1352817.0162811105</c:v>
                </c:pt>
                <c:pt idx="365">
                  <c:v>1368732.5105903</c:v>
                </c:pt>
                <c:pt idx="366">
                  <c:v>1384648.0048994895</c:v>
                </c:pt>
                <c:pt idx="367">
                  <c:v>1400563.499208679</c:v>
                </c:pt>
                <c:pt idx="368">
                  <c:v>1416478.9935178685</c:v>
                </c:pt>
                <c:pt idx="369">
                  <c:v>1432394.4878270582</c:v>
                </c:pt>
                <c:pt idx="370">
                  <c:v>1448309.9821362477</c:v>
                </c:pt>
                <c:pt idx="371">
                  <c:v>1464225.4764454372</c:v>
                </c:pt>
                <c:pt idx="372">
                  <c:v>1480140.9707546267</c:v>
                </c:pt>
                <c:pt idx="373">
                  <c:v>1496056.4650638162</c:v>
                </c:pt>
                <c:pt idx="374">
                  <c:v>1511971.9593730057</c:v>
                </c:pt>
                <c:pt idx="375">
                  <c:v>1527887.4536821954</c:v>
                </c:pt>
                <c:pt idx="376">
                  <c:v>1543802.9479913849</c:v>
                </c:pt>
                <c:pt idx="377">
                  <c:v>1559718.4423005744</c:v>
                </c:pt>
                <c:pt idx="378">
                  <c:v>1575633.9366097639</c:v>
                </c:pt>
                <c:pt idx="379">
                  <c:v>1591549.4309189534</c:v>
                </c:pt>
              </c:numCache>
            </c:numRef>
          </c:xVal>
          <c:yVal>
            <c:numRef>
              <c:f>'Loop Gain'!$AB$2:$AB$381</c:f>
              <c:numCache>
                <c:formatCode>General</c:formatCode>
                <c:ptCount val="380"/>
                <c:pt idx="0">
                  <c:v>-90.251426100110024</c:v>
                </c:pt>
                <c:pt idx="1">
                  <c:v>-92.512457858265222</c:v>
                </c:pt>
                <c:pt idx="2">
                  <c:v>-95.014041901082308</c:v>
                </c:pt>
                <c:pt idx="3">
                  <c:v>-97.494147010447023</c:v>
                </c:pt>
                <c:pt idx="4">
                  <c:v>-99.942689078437326</c:v>
                </c:pt>
                <c:pt idx="5">
                  <c:v>-102.3503263842484</c:v>
                </c:pt>
                <c:pt idx="6">
                  <c:v>-104.70863882958349</c:v>
                </c:pt>
                <c:pt idx="7">
                  <c:v>-107.01025811694258</c:v>
                </c:pt>
                <c:pt idx="8">
                  <c:v>-109.24894652074258</c:v>
                </c:pt>
                <c:pt idx="9">
                  <c:v>-111.41962611047103</c:v>
                </c:pt>
                <c:pt idx="10">
                  <c:v>-113.51836366287057</c:v>
                </c:pt>
                <c:pt idx="11">
                  <c:v>-130.34135147012154</c:v>
                </c:pt>
                <c:pt idx="12">
                  <c:v>-140.76311372792622</c:v>
                </c:pt>
                <c:pt idx="13">
                  <c:v>-147.14654385677653</c:v>
                </c:pt>
                <c:pt idx="14">
                  <c:v>-151.15090487068449</c:v>
                </c:pt>
                <c:pt idx="15">
                  <c:v>-153.71266549003562</c:v>
                </c:pt>
                <c:pt idx="16">
                  <c:v>-155.35640537401397</c:v>
                </c:pt>
                <c:pt idx="17">
                  <c:v>-156.38810334681705</c:v>
                </c:pt>
                <c:pt idx="18">
                  <c:v>-156.99504697255952</c:v>
                </c:pt>
                <c:pt idx="19">
                  <c:v>-157.29719372722946</c:v>
                </c:pt>
                <c:pt idx="20">
                  <c:v>-157.37452105970044</c:v>
                </c:pt>
                <c:pt idx="21">
                  <c:v>-157.2822419789274</c:v>
                </c:pt>
                <c:pt idx="22">
                  <c:v>-157.05964141501727</c:v>
                </c:pt>
                <c:pt idx="23">
                  <c:v>-156.73541415428235</c:v>
                </c:pt>
                <c:pt idx="24">
                  <c:v>-156.33100532178966</c:v>
                </c:pt>
                <c:pt idx="25">
                  <c:v>-155.86276754326383</c:v>
                </c:pt>
                <c:pt idx="26">
                  <c:v>-155.34339337788316</c:v>
                </c:pt>
                <c:pt idx="27">
                  <c:v>-154.78289044219076</c:v>
                </c:pt>
                <c:pt idx="28">
                  <c:v>-154.1892601429864</c:v>
                </c:pt>
                <c:pt idx="29">
                  <c:v>-153.56897964002997</c:v>
                </c:pt>
                <c:pt idx="30">
                  <c:v>-152.92735031624673</c:v>
                </c:pt>
                <c:pt idx="31">
                  <c:v>-152.26875389440181</c:v>
                </c:pt>
                <c:pt idx="32">
                  <c:v>-151.59684351685326</c:v>
                </c:pt>
                <c:pt idx="33">
                  <c:v>-150.91468827883722</c:v>
                </c:pt>
                <c:pt idx="34">
                  <c:v>-150.22488395286754</c:v>
                </c:pt>
                <c:pt idx="35">
                  <c:v>-149.52963882086095</c:v>
                </c:pt>
                <c:pt idx="36">
                  <c:v>-148.83084094848448</c:v>
                </c:pt>
                <c:pt idx="37">
                  <c:v>-148.13011146327449</c:v>
                </c:pt>
                <c:pt idx="38">
                  <c:v>-147.42884716270004</c:v>
                </c:pt>
                <c:pt idx="39">
                  <c:v>-146.72825490575329</c:v>
                </c:pt>
                <c:pt idx="40">
                  <c:v>-146.02937961749402</c:v>
                </c:pt>
                <c:pt idx="41">
                  <c:v>-145.33312728426921</c:v>
                </c:pt>
                <c:pt idx="42">
                  <c:v>-144.64028398684727</c:v>
                </c:pt>
                <c:pt idx="43">
                  <c:v>-143.95153177446585</c:v>
                </c:pt>
                <c:pt idx="44">
                  <c:v>-143.26746200055373</c:v>
                </c:pt>
                <c:pt idx="45">
                  <c:v>-142.58858660373812</c:v>
                </c:pt>
                <c:pt idx="46">
                  <c:v>-141.91534771363911</c:v>
                </c:pt>
                <c:pt idx="47">
                  <c:v>-141.24812588135029</c:v>
                </c:pt>
                <c:pt idx="48">
                  <c:v>-140.58724717316028</c:v>
                </c:pt>
                <c:pt idx="49">
                  <c:v>-139.93298931850555</c:v>
                </c:pt>
                <c:pt idx="50">
                  <c:v>-139.28558706599637</c:v>
                </c:pt>
                <c:pt idx="51">
                  <c:v>-138.64523687218917</c:v>
                </c:pt>
                <c:pt idx="52">
                  <c:v>-138.01210102473269</c:v>
                </c:pt>
                <c:pt idx="53">
                  <c:v>-137.38631128320245</c:v>
                </c:pt>
                <c:pt idx="54">
                  <c:v>-136.76797210632182</c:v>
                </c:pt>
                <c:pt idx="55">
                  <c:v>-136.15716352252613</c:v>
                </c:pt>
                <c:pt idx="56">
                  <c:v>-135.55394369135496</c:v>
                </c:pt>
                <c:pt idx="57">
                  <c:v>-134.95835119548704</c:v>
                </c:pt>
                <c:pt idx="58">
                  <c:v>-134.37040709697118</c:v>
                </c:pt>
                <c:pt idx="59">
                  <c:v>-133.7901167860943</c:v>
                </c:pt>
                <c:pt idx="60">
                  <c:v>-133.21747164711547</c:v>
                </c:pt>
                <c:pt idx="61">
                  <c:v>-132.65245056161865</c:v>
                </c:pt>
                <c:pt idx="62">
                  <c:v>-132.09502126735248</c:v>
                </c:pt>
                <c:pt idx="63">
                  <c:v>-131.54514158801527</c:v>
                </c:pt>
                <c:pt idx="64">
                  <c:v>-131.00276054742795</c:v>
                </c:pt>
                <c:pt idx="65">
                  <c:v>-130.46781937984076</c:v>
                </c:pt>
                <c:pt idx="66">
                  <c:v>-129.94025244667836</c:v>
                </c:pt>
                <c:pt idx="67">
                  <c:v>-129.41998806881034</c:v>
                </c:pt>
                <c:pt idx="68">
                  <c:v>-128.90694928238844</c:v>
                </c:pt>
                <c:pt idx="69">
                  <c:v>-128.4010545253945</c:v>
                </c:pt>
                <c:pt idx="70">
                  <c:v>-127.9022182612723</c:v>
                </c:pt>
                <c:pt idx="71">
                  <c:v>-127.41035154534524</c:v>
                </c:pt>
                <c:pt idx="72">
                  <c:v>-126.92536253913687</c:v>
                </c:pt>
                <c:pt idx="73">
                  <c:v>-126.44715697720348</c:v>
                </c:pt>
                <c:pt idx="74">
                  <c:v>-125.9756385906374</c:v>
                </c:pt>
                <c:pt idx="75">
                  <c:v>-125.51070949100335</c:v>
                </c:pt>
                <c:pt idx="76">
                  <c:v>-125.05227051812132</c:v>
                </c:pt>
                <c:pt idx="77">
                  <c:v>-124.60022155479606</c:v>
                </c:pt>
                <c:pt idx="78">
                  <c:v>-124.15446181131452</c:v>
                </c:pt>
                <c:pt idx="79">
                  <c:v>-123.71489008228403</c:v>
                </c:pt>
                <c:pt idx="80">
                  <c:v>-123.28140497815902</c:v>
                </c:pt>
                <c:pt idx="81">
                  <c:v>-122.85390513360261</c:v>
                </c:pt>
                <c:pt idx="82">
                  <c:v>-122.43228939464609</c:v>
                </c:pt>
                <c:pt idx="83">
                  <c:v>-122.01645698644465</c:v>
                </c:pt>
                <c:pt idx="84">
                  <c:v>-121.60630766327617</c:v>
                </c:pt>
                <c:pt idx="85">
                  <c:v>-121.20174184229651</c:v>
                </c:pt>
                <c:pt idx="86">
                  <c:v>-120.80266072243481</c:v>
                </c:pt>
                <c:pt idx="87">
                  <c:v>-120.4089663897043</c:v>
                </c:pt>
                <c:pt idx="88">
                  <c:v>-120.02056191009696</c:v>
                </c:pt>
                <c:pt idx="89">
                  <c:v>-119.6373514111358</c:v>
                </c:pt>
                <c:pt idx="90">
                  <c:v>-119.25924015307028</c:v>
                </c:pt>
                <c:pt idx="91">
                  <c:v>-118.88613459062539</c:v>
                </c:pt>
                <c:pt idx="92">
                  <c:v>-118.51794242613393</c:v>
                </c:pt>
                <c:pt idx="93">
                  <c:v>-118.15457265481979</c:v>
                </c:pt>
                <c:pt idx="94">
                  <c:v>-117.79593560293713</c:v>
                </c:pt>
                <c:pt idx="95">
                  <c:v>-117.44194295941037</c:v>
                </c:pt>
                <c:pt idx="96">
                  <c:v>-117.09250780157262</c:v>
                </c:pt>
                <c:pt idx="97">
                  <c:v>-116.74754461554534</c:v>
                </c:pt>
                <c:pt idx="98">
                  <c:v>-116.40696931176421</c:v>
                </c:pt>
                <c:pt idx="99">
                  <c:v>-116.0706992361107</c:v>
                </c:pt>
                <c:pt idx="100">
                  <c:v>-115.73865317707299</c:v>
                </c:pt>
                <c:pt idx="101">
                  <c:v>-115.41075136932466</c:v>
                </c:pt>
                <c:pt idx="102">
                  <c:v>-115.08691549407737</c:v>
                </c:pt>
                <c:pt idx="103">
                  <c:v>-114.76706867653544</c:v>
                </c:pt>
                <c:pt idx="104">
                  <c:v>-114.45113548075099</c:v>
                </c:pt>
                <c:pt idx="105">
                  <c:v>-114.13904190215587</c:v>
                </c:pt>
                <c:pt idx="106">
                  <c:v>-113.8307153580203</c:v>
                </c:pt>
                <c:pt idx="107">
                  <c:v>-113.52608467607072</c:v>
                </c:pt>
                <c:pt idx="108">
                  <c:v>-113.22508008147571</c:v>
                </c:pt>
                <c:pt idx="109">
                  <c:v>-112.92763318239531</c:v>
                </c:pt>
                <c:pt idx="110">
                  <c:v>-110.13474578219865</c:v>
                </c:pt>
                <c:pt idx="111">
                  <c:v>-107.63196069513455</c:v>
                </c:pt>
                <c:pt idx="112">
                  <c:v>-105.37067064414154</c:v>
                </c:pt>
                <c:pt idx="113">
                  <c:v>-103.31167546061026</c:v>
                </c:pt>
                <c:pt idx="114">
                  <c:v>-101.42332176510872</c:v>
                </c:pt>
                <c:pt idx="115">
                  <c:v>-99.679953355985063</c:v>
                </c:pt>
                <c:pt idx="116">
                  <c:v>-98.060667285911876</c:v>
                </c:pt>
                <c:pt idx="117">
                  <c:v>-96.548332742357047</c:v>
                </c:pt>
                <c:pt idx="118">
                  <c:v>-95.128823004033492</c:v>
                </c:pt>
                <c:pt idx="119">
                  <c:v>-93.790415312209547</c:v>
                </c:pt>
                <c:pt idx="120">
                  <c:v>-92.523321259528231</c:v>
                </c:pt>
                <c:pt idx="121">
                  <c:v>-91.319318044022566</c:v>
                </c:pt>
                <c:pt idx="122">
                  <c:v>-90.171457584509184</c:v>
                </c:pt>
                <c:pt idx="123">
                  <c:v>-89.073835840239781</c:v>
                </c:pt>
                <c:pt idx="124">
                  <c:v>-88.021408839838102</c:v>
                </c:pt>
                <c:pt idx="125">
                  <c:v>-87.009845110735426</c:v>
                </c:pt>
                <c:pt idx="126">
                  <c:v>-86.035406619613909</c:v>
                </c:pt>
                <c:pt idx="127">
                  <c:v>-85.094852165691236</c:v>
                </c:pt>
                <c:pt idx="128">
                  <c:v>-84.185358555019747</c:v>
                </c:pt>
                <c:pt idx="129">
                  <c:v>-83.304455935553889</c:v>
                </c:pt>
                <c:pt idx="130">
                  <c:v>-82.449974473060308</c:v>
                </c:pt>
                <c:pt idx="131">
                  <c:v>-81.620000159537668</c:v>
                </c:pt>
                <c:pt idx="132">
                  <c:v>-80.812838015362999</c:v>
                </c:pt>
                <c:pt idx="133">
                  <c:v>-80.026981308668326</c:v>
                </c:pt>
                <c:pt idx="134">
                  <c:v>-79.261085696399249</c:v>
                </c:pt>
                <c:pt idx="135">
                  <c:v>-78.513947410534584</c:v>
                </c:pt>
                <c:pt idx="136">
                  <c:v>-77.784484784567709</c:v>
                </c:pt>
                <c:pt idx="137">
                  <c:v>-77.071722550533892</c:v>
                </c:pt>
                <c:pt idx="138">
                  <c:v>-76.374778443896417</c:v>
                </c:pt>
                <c:pt idx="139">
                  <c:v>-75.692851738749908</c:v>
                </c:pt>
                <c:pt idx="140">
                  <c:v>-75.025213403881921</c:v>
                </c:pt>
                <c:pt idx="141">
                  <c:v>-74.371197624927575</c:v>
                </c:pt>
                <c:pt idx="142">
                  <c:v>-73.730194481990239</c:v>
                </c:pt>
                <c:pt idx="143">
                  <c:v>-73.101643607884895</c:v>
                </c:pt>
                <c:pt idx="144">
                  <c:v>-72.485028681299738</c:v>
                </c:pt>
                <c:pt idx="145">
                  <c:v>-71.879872632996964</c:v>
                </c:pt>
                <c:pt idx="146">
                  <c:v>-71.285733462733759</c:v>
                </c:pt>
                <c:pt idx="147">
                  <c:v>-70.702200580715527</c:v>
                </c:pt>
                <c:pt idx="148">
                  <c:v>-70.128891600732572</c:v>
                </c:pt>
                <c:pt idx="149">
                  <c:v>-69.565449523220224</c:v>
                </c:pt>
                <c:pt idx="150">
                  <c:v>-69.011540255715943</c:v>
                </c:pt>
                <c:pt idx="151">
                  <c:v>-68.466850425924108</c:v>
                </c:pt>
                <c:pt idx="152">
                  <c:v>-67.93108544907588</c:v>
                </c:pt>
                <c:pt idx="153">
                  <c:v>-67.403967816742991</c:v>
                </c:pt>
                <c:pt idx="154">
                  <c:v>-66.885235578867963</c:v>
                </c:pt>
                <c:pt idx="155">
                  <c:v>-66.374640994689486</c:v>
                </c:pt>
                <c:pt idx="156">
                  <c:v>-65.871949331556294</c:v>
                </c:pt>
                <c:pt idx="157">
                  <c:v>-65.376937793454303</c:v>
                </c:pt>
                <c:pt idx="158">
                  <c:v>-64.889394563485496</c:v>
                </c:pt>
                <c:pt idx="159">
                  <c:v>-64.409117946608845</c:v>
                </c:pt>
                <c:pt idx="160">
                  <c:v>-63.935915600726247</c:v>
                </c:pt>
                <c:pt idx="161">
                  <c:v>-63.469603845726112</c:v>
                </c:pt>
                <c:pt idx="162">
                  <c:v>-63.010007041416529</c:v>
                </c:pt>
                <c:pt idx="163">
                  <c:v>-62.556957026412597</c:v>
                </c:pt>
                <c:pt idx="164">
                  <c:v>-62.110292611035661</c:v>
                </c:pt>
                <c:pt idx="165">
                  <c:v>-61.669859118129274</c:v>
                </c:pt>
                <c:pt idx="166">
                  <c:v>-61.235507966446193</c:v>
                </c:pt>
                <c:pt idx="167">
                  <c:v>-60.807096291901097</c:v>
                </c:pt>
                <c:pt idx="168">
                  <c:v>-60.384486602555029</c:v>
                </c:pt>
                <c:pt idx="169">
                  <c:v>-59.96754646367679</c:v>
                </c:pt>
                <c:pt idx="170">
                  <c:v>-59.556148209673324</c:v>
                </c:pt>
                <c:pt idx="171">
                  <c:v>-59.150168680042732</c:v>
                </c:pt>
                <c:pt idx="172">
                  <c:v>-58.749488976841675</c:v>
                </c:pt>
                <c:pt idx="173">
                  <c:v>-58.353994241446529</c:v>
                </c:pt>
                <c:pt idx="174">
                  <c:v>-57.963573448640105</c:v>
                </c:pt>
                <c:pt idx="175">
                  <c:v>-57.578119216285728</c:v>
                </c:pt>
                <c:pt idx="176">
                  <c:v>-57.19752762903552</c:v>
                </c:pt>
                <c:pt idx="177">
                  <c:v>-56.821698074706177</c:v>
                </c:pt>
                <c:pt idx="178">
                  <c:v>-56.45053309210239</c:v>
                </c:pt>
                <c:pt idx="179">
                  <c:v>-56.083938229196718</c:v>
                </c:pt>
                <c:pt idx="180">
                  <c:v>-55.721821910708798</c:v>
                </c:pt>
                <c:pt idx="181">
                  <c:v>-55.364095314217721</c:v>
                </c:pt>
                <c:pt idx="182">
                  <c:v>-55.010672254042738</c:v>
                </c:pt>
                <c:pt idx="183">
                  <c:v>-54.661469072204767</c:v>
                </c:pt>
                <c:pt idx="184">
                  <c:v>-54.316404535859391</c:v>
                </c:pt>
                <c:pt idx="185">
                  <c:v>-53.975399740652676</c:v>
                </c:pt>
                <c:pt idx="186">
                  <c:v>-53.638378019507542</c:v>
                </c:pt>
                <c:pt idx="187">
                  <c:v>-53.305264856404051</c:v>
                </c:pt>
                <c:pt idx="188">
                  <c:v>-52.975987804757139</c:v>
                </c:pt>
                <c:pt idx="189">
                  <c:v>-52.650476410036255</c:v>
                </c:pt>
                <c:pt idx="190">
                  <c:v>-52.32866213631079</c:v>
                </c:pt>
                <c:pt idx="191">
                  <c:v>-52.010478296430385</c:v>
                </c:pt>
                <c:pt idx="192">
                  <c:v>-51.695859985581457</c:v>
                </c:pt>
                <c:pt idx="193">
                  <c:v>-51.384744017986307</c:v>
                </c:pt>
                <c:pt idx="194">
                  <c:v>-51.077068866531434</c:v>
                </c:pt>
                <c:pt idx="195">
                  <c:v>-50.77277460513217</c:v>
                </c:pt>
                <c:pt idx="196">
                  <c:v>-50.471802853658716</c:v>
                </c:pt>
                <c:pt idx="197">
                  <c:v>-50.174096725264363</c:v>
                </c:pt>
                <c:pt idx="198">
                  <c:v>-49.879600775970829</c:v>
                </c:pt>
                <c:pt idx="199">
                  <c:v>-49.588260956377226</c:v>
                </c:pt>
                <c:pt idx="200">
                  <c:v>-46.837468828139045</c:v>
                </c:pt>
                <c:pt idx="201">
                  <c:v>-44.351621288833741</c:v>
                </c:pt>
                <c:pt idx="202">
                  <c:v>-42.093871999612986</c:v>
                </c:pt>
                <c:pt idx="203">
                  <c:v>-40.034474454707578</c:v>
                </c:pt>
                <c:pt idx="204">
                  <c:v>-38.149011340398374</c:v>
                </c:pt>
                <c:pt idx="205">
                  <c:v>-36.417139122917632</c:v>
                </c:pt>
                <c:pt idx="206">
                  <c:v>-34.821686956084775</c:v>
                </c:pt>
                <c:pt idx="207">
                  <c:v>-33.348000832494535</c:v>
                </c:pt>
                <c:pt idx="208">
                  <c:v>-31.983458353081907</c:v>
                </c:pt>
                <c:pt idx="209">
                  <c:v>-30.717103091917551</c:v>
                </c:pt>
                <c:pt idx="210">
                  <c:v>-29.539363723613008</c:v>
                </c:pt>
                <c:pt idx="211">
                  <c:v>-28.441834106666718</c:v>
                </c:pt>
                <c:pt idx="212">
                  <c:v>-27.417097970125724</c:v>
                </c:pt>
                <c:pt idx="213">
                  <c:v>-26.45858686870821</c:v>
                </c:pt>
                <c:pt idx="214">
                  <c:v>-25.560463448133504</c:v>
                </c:pt>
                <c:pt idx="215">
                  <c:v>-24.717524343162438</c:v>
                </c:pt>
                <c:pt idx="216">
                  <c:v>-23.925118583236042</c:v>
                </c:pt>
                <c:pt idx="217">
                  <c:v>-23.179078449166163</c:v>
                </c:pt>
                <c:pt idx="218">
                  <c:v>-22.475660470539957</c:v>
                </c:pt>
                <c:pt idx="219">
                  <c:v>-21.811494783485642</c:v>
                </c:pt>
                <c:pt idx="220">
                  <c:v>-21.183541451971983</c:v>
                </c:pt>
                <c:pt idx="221">
                  <c:v>-20.589052638868367</c:v>
                </c:pt>
                <c:pt idx="222">
                  <c:v>-20.025539726042112</c:v>
                </c:pt>
                <c:pt idx="223">
                  <c:v>-19.490744646195751</c:v>
                </c:pt>
                <c:pt idx="224">
                  <c:v>-18.982614816741915</c:v>
                </c:pt>
                <c:pt idx="225">
                  <c:v>-18.499281167205261</c:v>
                </c:pt>
                <c:pt idx="226">
                  <c:v>-18.039038833023511</c:v>
                </c:pt>
                <c:pt idx="227">
                  <c:v>-17.600330154852415</c:v>
                </c:pt>
                <c:pt idx="228">
                  <c:v>-17.181729676917925</c:v>
                </c:pt>
                <c:pt idx="229">
                  <c:v>-16.781930883097829</c:v>
                </c:pt>
                <c:pt idx="230">
                  <c:v>-16.399734447095312</c:v>
                </c:pt>
                <c:pt idx="231">
                  <c:v>-16.034037804706983</c:v>
                </c:pt>
                <c:pt idx="232">
                  <c:v>-15.683825882901409</c:v>
                </c:pt>
                <c:pt idx="233">
                  <c:v>-15.348162843049266</c:v>
                </c:pt>
                <c:pt idx="234">
                  <c:v>-15.026184714906528</c:v>
                </c:pt>
                <c:pt idx="235">
                  <c:v>-14.717092814369884</c:v>
                </c:pt>
                <c:pt idx="236">
                  <c:v>-14.420147852078188</c:v>
                </c:pt>
                <c:pt idx="237">
                  <c:v>-14.134664651993731</c:v>
                </c:pt>
                <c:pt idx="238">
                  <c:v>-13.86000740944931</c:v>
                </c:pt>
                <c:pt idx="239">
                  <c:v>-13.595585427080877</c:v>
                </c:pt>
                <c:pt idx="240">
                  <c:v>-13.340849274765745</c:v>
                </c:pt>
                <c:pt idx="241">
                  <c:v>-13.095287326350515</c:v>
                </c:pt>
                <c:pt idx="242">
                  <c:v>-12.858422631725958</c:v>
                </c:pt>
                <c:pt idx="243">
                  <c:v>-12.629810087809119</c:v>
                </c:pt>
                <c:pt idx="244">
                  <c:v>-12.409033876353206</c:v>
                </c:pt>
                <c:pt idx="245">
                  <c:v>-12.195705140289604</c:v>
                </c:pt>
                <c:pt idx="246">
                  <c:v>-11.989459873614237</c:v>
                </c:pt>
                <c:pt idx="247">
                  <c:v>-11.789957002715596</c:v>
                </c:pt>
                <c:pt idx="248">
                  <c:v>-11.596876639566617</c:v>
                </c:pt>
                <c:pt idx="249">
                  <c:v>-11.409918489411837</c:v>
                </c:pt>
                <c:pt idx="250">
                  <c:v>-11.228800397523059</c:v>
                </c:pt>
                <c:pt idx="251">
                  <c:v>-11.053257021299274</c:v>
                </c:pt>
                <c:pt idx="252">
                  <c:v>-10.883038615486953</c:v>
                </c:pt>
                <c:pt idx="253">
                  <c:v>-10.71790991961538</c:v>
                </c:pt>
                <c:pt idx="254">
                  <c:v>-10.557649137908442</c:v>
                </c:pt>
                <c:pt idx="255">
                  <c:v>-10.402047002964622</c:v>
                </c:pt>
                <c:pt idx="256">
                  <c:v>-10.250905915403706</c:v>
                </c:pt>
                <c:pt idx="257">
                  <c:v>-10.104039152489321</c:v>
                </c:pt>
                <c:pt idx="258">
                  <c:v>-9.9612701394492831</c:v>
                </c:pt>
                <c:pt idx="259">
                  <c:v>-9.8224317778519605</c:v>
                </c:pt>
                <c:pt idx="260">
                  <c:v>-9.6873658259608391</c:v>
                </c:pt>
                <c:pt idx="261">
                  <c:v>-9.5559223264951214</c:v>
                </c:pt>
                <c:pt idx="262">
                  <c:v>-9.4279590776666993</c:v>
                </c:pt>
                <c:pt idx="263">
                  <c:v>-9.303341143773892</c:v>
                </c:pt>
                <c:pt idx="264">
                  <c:v>-9.181940401977883</c:v>
                </c:pt>
                <c:pt idx="265">
                  <c:v>-9.0636351222164535</c:v>
                </c:pt>
                <c:pt idx="266">
                  <c:v>-8.9483095774950954</c:v>
                </c:pt>
                <c:pt idx="267">
                  <c:v>-8.8358536820488638</c:v>
                </c:pt>
                <c:pt idx="268">
                  <c:v>-8.7261626550997704</c:v>
                </c:pt>
                <c:pt idx="269">
                  <c:v>-8.619136708147721</c:v>
                </c:pt>
                <c:pt idx="270">
                  <c:v>-8.5146807539106675</c:v>
                </c:pt>
                <c:pt idx="271">
                  <c:v>-8.4127041352030147</c:v>
                </c:pt>
                <c:pt idx="272">
                  <c:v>-8.3131203721939357</c:v>
                </c:pt>
                <c:pt idx="273">
                  <c:v>-8.2158469266194487</c:v>
                </c:pt>
                <c:pt idx="274">
                  <c:v>-8.1208049816473107</c:v>
                </c:pt>
                <c:pt idx="275">
                  <c:v>-8.0279192362089162</c:v>
                </c:pt>
                <c:pt idx="276">
                  <c:v>-7.9371177127088401</c:v>
                </c:pt>
                <c:pt idx="277">
                  <c:v>-7.8483315771156583</c:v>
                </c:pt>
                <c:pt idx="278">
                  <c:v>-7.7614949705224632</c:v>
                </c:pt>
                <c:pt idx="279">
                  <c:v>-7.676544851340438</c:v>
                </c:pt>
                <c:pt idx="280">
                  <c:v>-7.5934208473539968</c:v>
                </c:pt>
                <c:pt idx="281">
                  <c:v>-7.5120651169340675</c:v>
                </c:pt>
                <c:pt idx="282">
                  <c:v>-7.4324222187581057</c:v>
                </c:pt>
                <c:pt idx="283">
                  <c:v>-7.35443898944105</c:v>
                </c:pt>
                <c:pt idx="284">
                  <c:v>-7.2780644285228107</c:v>
                </c:pt>
                <c:pt idx="285">
                  <c:v>-7.2032495903093121</c:v>
                </c:pt>
                <c:pt idx="286">
                  <c:v>-7.1299474820957585</c:v>
                </c:pt>
                <c:pt idx="287">
                  <c:v>-7.0581129683400832</c:v>
                </c:pt>
                <c:pt idx="288">
                  <c:v>-6.987702680389603</c:v>
                </c:pt>
                <c:pt idx="289">
                  <c:v>-6.9186749313877698</c:v>
                </c:pt>
                <c:pt idx="290">
                  <c:v>-6.2963204377976609</c:v>
                </c:pt>
                <c:pt idx="291">
                  <c:v>-5.7762579294861496</c:v>
                </c:pt>
                <c:pt idx="292">
                  <c:v>-5.3352671876987614</c:v>
                </c:pt>
                <c:pt idx="293">
                  <c:v>-4.9566410764193449</c:v>
                </c:pt>
                <c:pt idx="294">
                  <c:v>-4.6280574993452035</c:v>
                </c:pt>
                <c:pt idx="295">
                  <c:v>-4.3402326128279469</c:v>
                </c:pt>
                <c:pt idx="296">
                  <c:v>-4.0860406662663564</c:v>
                </c:pt>
                <c:pt idx="297">
                  <c:v>-3.8599224973993387</c:v>
                </c:pt>
                <c:pt idx="298">
                  <c:v>-3.6574781460388692</c:v>
                </c:pt>
                <c:pt idx="299">
                  <c:v>-3.4751801216741853</c:v>
                </c:pt>
                <c:pt idx="300">
                  <c:v>-3.310167653555979</c:v>
                </c:pt>
                <c:pt idx="301">
                  <c:v>-3.1600964718673339</c:v>
                </c:pt>
                <c:pt idx="302">
                  <c:v>-3.0230274069441094</c:v>
                </c:pt>
                <c:pt idx="303">
                  <c:v>-2.8973425991438262</c:v>
                </c:pt>
                <c:pt idx="304">
                  <c:v>-2.7816816599064538</c:v>
                </c:pt>
                <c:pt idx="305">
                  <c:v>-2.6748924581593343</c:v>
                </c:pt>
                <c:pt idx="306">
                  <c:v>-2.5759927699884599</c:v>
                </c:pt>
                <c:pt idx="307">
                  <c:v>-2.4841400954093302</c:v>
                </c:pt>
                <c:pt idx="308">
                  <c:v>-2.3986076840932782</c:v>
                </c:pt>
                <c:pt idx="309">
                  <c:v>-2.3187653303306774</c:v>
                </c:pt>
                <c:pt idx="310">
                  <c:v>-2.244063866568311</c:v>
                </c:pt>
                <c:pt idx="311">
                  <c:v>-2.1740225508541329</c:v>
                </c:pt>
                <c:pt idx="312">
                  <c:v>-2.108218737453825</c:v>
                </c:pt>
                <c:pt idx="313">
                  <c:v>-2.0462793628198455</c:v>
                </c:pt>
                <c:pt idx="314">
                  <c:v>-1.9878738854727942</c:v>
                </c:pt>
                <c:pt idx="315">
                  <c:v>-1.9327083982862234</c:v>
                </c:pt>
                <c:pt idx="316">
                  <c:v>-1.8805206922544926</c:v>
                </c:pt>
                <c:pt idx="317">
                  <c:v>-1.8310760971318416</c:v>
                </c:pt>
                <c:pt idx="318">
                  <c:v>-1.7841639600030845</c:v>
                </c:pt>
                <c:pt idx="319">
                  <c:v>-1.7395946505256745</c:v>
                </c:pt>
                <c:pt idx="320">
                  <c:v>-1.6971970032132617</c:v>
                </c:pt>
                <c:pt idx="321">
                  <c:v>-1.6568161241430062</c:v>
                </c:pt>
                <c:pt idx="322">
                  <c:v>-1.6183115029346311</c:v>
                </c:pt>
                <c:pt idx="323">
                  <c:v>-1.5815553815702685</c:v>
                </c:pt>
                <c:pt idx="324">
                  <c:v>-1.5464313402077181</c:v>
                </c:pt>
                <c:pt idx="325">
                  <c:v>-1.5128330670495274</c:v>
                </c:pt>
                <c:pt idx="326">
                  <c:v>-1.4806632849221586</c:v>
                </c:pt>
                <c:pt idx="327">
                  <c:v>-1.4498328117643666</c:v>
                </c:pt>
                <c:pt idx="328">
                  <c:v>-1.4202597359371936</c:v>
                </c:pt>
                <c:pt idx="329">
                  <c:v>-1.3918686903146806</c:v>
                </c:pt>
                <c:pt idx="330">
                  <c:v>-1.3645902116250568</c:v>
                </c:pt>
                <c:pt idx="331">
                  <c:v>-1.338360173588967</c:v>
                </c:pt>
                <c:pt idx="332">
                  <c:v>-1.3131192841256194</c:v>
                </c:pt>
                <c:pt idx="333">
                  <c:v>-1.2888126383377312</c:v>
                </c:pt>
                <c:pt idx="334">
                  <c:v>-1.2653893201878077</c:v>
                </c:pt>
                <c:pt idx="335">
                  <c:v>-1.2428020467899614</c:v>
                </c:pt>
                <c:pt idx="336">
                  <c:v>-1.2210068500920528</c:v>
                </c:pt>
                <c:pt idx="337">
                  <c:v>-1.1999627914429141</c:v>
                </c:pt>
                <c:pt idx="338">
                  <c:v>-1.1796317051482959</c:v>
                </c:pt>
                <c:pt idx="339">
                  <c:v>-1.159977967639108</c:v>
                </c:pt>
                <c:pt idx="340">
                  <c:v>-1.1409682893166746</c:v>
                </c:pt>
                <c:pt idx="341">
                  <c:v>-1.1225715265181293</c:v>
                </c:pt>
                <c:pt idx="342">
                  <c:v>-1.1047585113694112</c:v>
                </c:pt>
                <c:pt idx="343">
                  <c:v>-1.0875018975718973</c:v>
                </c:pt>
                <c:pt idx="344">
                  <c:v>-1.0707760204089709</c:v>
                </c:pt>
                <c:pt idx="345">
                  <c:v>-1.0545567694658615</c:v>
                </c:pt>
                <c:pt idx="346">
                  <c:v>-1.0388214727363021</c:v>
                </c:pt>
                <c:pt idx="347">
                  <c:v>-1.023548790945199</c:v>
                </c:pt>
                <c:pt idx="348">
                  <c:v>-1.0087186210516705</c:v>
                </c:pt>
                <c:pt idx="349">
                  <c:v>-0.99431200801585362</c:v>
                </c:pt>
                <c:pt idx="350">
                  <c:v>-0.98031106401531076</c:v>
                </c:pt>
                <c:pt idx="351">
                  <c:v>-0.96669889438743439</c:v>
                </c:pt>
                <c:pt idx="352">
                  <c:v>-0.95345952965378444</c:v>
                </c:pt>
                <c:pt idx="353">
                  <c:v>-0.94057786305130264</c:v>
                </c:pt>
                <c:pt idx="354">
                  <c:v>-0.92803959305730643</c:v>
                </c:pt>
                <c:pt idx="355">
                  <c:v>-0.91583117044800133</c:v>
                </c:pt>
                <c:pt idx="356">
                  <c:v>-0.90393974947951961</c:v>
                </c:pt>
                <c:pt idx="357">
                  <c:v>-0.89235314282140621</c:v>
                </c:pt>
                <c:pt idx="358">
                  <c:v>-0.88105977991047268</c:v>
                </c:pt>
                <c:pt idx="359">
                  <c:v>-0.87004866842559636</c:v>
                </c:pt>
                <c:pt idx="360">
                  <c:v>-0.85930935861497915</c:v>
                </c:pt>
                <c:pt idx="361">
                  <c:v>-0.84883191023104132</c:v>
                </c:pt>
                <c:pt idx="362">
                  <c:v>-0.83860686185445843</c:v>
                </c:pt>
                <c:pt idx="363">
                  <c:v>-0.82862520240811932</c:v>
                </c:pt>
                <c:pt idx="364">
                  <c:v>-0.8188783446802006</c:v>
                </c:pt>
                <c:pt idx="365">
                  <c:v>-0.80935810069351533</c:v>
                </c:pt>
                <c:pt idx="366">
                  <c:v>-0.80005665877267518</c:v>
                </c:pt>
                <c:pt idx="367">
                  <c:v>-0.79096656217372185</c:v>
                </c:pt>
                <c:pt idx="368">
                  <c:v>-0.78208068915377282</c:v>
                </c:pt>
                <c:pt idx="369">
                  <c:v>-0.77339223436862881</c:v>
                </c:pt>
                <c:pt idx="370">
                  <c:v>-0.76489469149616696</c:v>
                </c:pt>
                <c:pt idx="371">
                  <c:v>-0.7565818369925239</c:v>
                </c:pt>
                <c:pt idx="372">
                  <c:v>-0.74844771489547668</c:v>
                </c:pt>
                <c:pt idx="373">
                  <c:v>-0.74048662259782816</c:v>
                </c:pt>
                <c:pt idx="374">
                  <c:v>-0.73269309751810852</c:v>
                </c:pt>
                <c:pt idx="375">
                  <c:v>-0.72506190460482856</c:v>
                </c:pt>
                <c:pt idx="376">
                  <c:v>-0.71758802461253879</c:v>
                </c:pt>
                <c:pt idx="377">
                  <c:v>-0.71026664309583509</c:v>
                </c:pt>
                <c:pt idx="378">
                  <c:v>-0.70309314006991031</c:v>
                </c:pt>
                <c:pt idx="379">
                  <c:v>-0.69606308029115382</c:v>
                </c:pt>
              </c:numCache>
            </c:numRef>
          </c:yVal>
          <c:smooth val="1"/>
          <c:extLst>
            <c:ext xmlns:c16="http://schemas.microsoft.com/office/drawing/2014/chart" uri="{C3380CC4-5D6E-409C-BE32-E72D297353CC}">
              <c16:uniqueId val="{00000001-0473-4151-A6D2-013976BBB783}"/>
            </c:ext>
          </c:extLst>
        </c:ser>
        <c:dLbls>
          <c:showLegendKey val="0"/>
          <c:showVal val="0"/>
          <c:showCatName val="0"/>
          <c:showSerName val="0"/>
          <c:showPercent val="0"/>
          <c:showBubbleSize val="0"/>
        </c:dLbls>
        <c:axId val="521878639"/>
        <c:axId val="521879055"/>
      </c:scatterChart>
      <c:valAx>
        <c:axId val="1434155088"/>
        <c:scaling>
          <c:logBase val="10"/>
          <c:orientation val="minMax"/>
        </c:scaling>
        <c:delete val="0"/>
        <c:axPos val="b"/>
        <c:majorGridlines>
          <c:spPr>
            <a:ln w="9525" cap="flat" cmpd="sng" algn="ctr">
              <a:solidFill>
                <a:schemeClr val="tx1">
                  <a:lumMod val="15000"/>
                  <a:lumOff val="85000"/>
                </a:schemeClr>
              </a:solidFill>
              <a:prstDash val="solid"/>
              <a:round/>
            </a:ln>
            <a:effectLst/>
          </c:spPr>
        </c:majorGridlines>
        <c:minorGridlines>
          <c:spPr>
            <a:ln w="6350" cap="flat" cmpd="sng" algn="ctr">
              <a:solidFill>
                <a:schemeClr val="tx1">
                  <a:tint val="50000"/>
                </a:schemeClr>
              </a:solidFill>
              <a:prstDash val="solid"/>
              <a:round/>
            </a:ln>
            <a:effectLst/>
          </c:spPr>
        </c:minorGridlines>
        <c:title>
          <c:tx>
            <c:rich>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US"/>
                  <a:t>Freq (Hz)</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low"/>
        <c:spPr>
          <a:noFill/>
          <a:ln w="9525" cap="flat" cmpd="sng" algn="ctr">
            <a:solidFill>
              <a:schemeClr val="tx1">
                <a:lumMod val="25000"/>
                <a:lumOff val="75000"/>
              </a:schemeClr>
            </a:solidFill>
            <a:prstDash val="solid"/>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US"/>
                  <a:t>Loop Gain (dB)</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General" sourceLinked="0"/>
        <c:majorTickMark val="out"/>
        <c:minorTickMark val="in"/>
        <c:tickLblPos val="low"/>
        <c:spPr>
          <a:noFill/>
          <a:ln w="9525" cap="flat" cmpd="sng" algn="ctr">
            <a:solidFill>
              <a:schemeClr val="tx1">
                <a:lumMod val="25000"/>
                <a:lumOff val="7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valAx>
        <c:axId val="521879055"/>
        <c:scaling>
          <c:orientation val="minMax"/>
        </c:scaling>
        <c:delete val="0"/>
        <c:axPos val="r"/>
        <c:numFmt formatCode="General" sourceLinked="1"/>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521878639"/>
        <c:crosses val="max"/>
        <c:crossBetween val="midCat"/>
      </c:valAx>
      <c:valAx>
        <c:axId val="521878639"/>
        <c:scaling>
          <c:logBase val="10"/>
          <c:orientation val="minMax"/>
        </c:scaling>
        <c:delete val="1"/>
        <c:axPos val="b"/>
        <c:numFmt formatCode="General" sourceLinked="1"/>
        <c:majorTickMark val="out"/>
        <c:minorTickMark val="none"/>
        <c:tickLblPos val="nextTo"/>
        <c:crossAx val="521879055"/>
        <c:crosses val="autoZero"/>
        <c:crossBetween val="midCat"/>
      </c:valAx>
      <c:spPr>
        <a:solidFill>
          <a:schemeClr val="bg1"/>
        </a:solidFill>
        <a:ln>
          <a:noFill/>
        </a:ln>
        <a:effectLst/>
      </c:spPr>
    </c:plotArea>
    <c:legend>
      <c:legendPos val="b"/>
      <c:legendEntry>
        <c:idx val="1"/>
        <c:delete val="1"/>
      </c:legendEntry>
      <c:layout>
        <c:manualLayout>
          <c:xMode val="edge"/>
          <c:yMode val="edge"/>
          <c:x val="0.62781463792435777"/>
          <c:y val="2.5743377822453048E-2"/>
          <c:w val="0.3380456650781099"/>
          <c:h val="4.360975015063349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extLst/>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'Loop Gain'!$H$1</c:f>
              <c:strCache>
                <c:ptCount val="1"/>
                <c:pt idx="0">
                  <c:v>Transfer Function CCM (db)</c:v>
                </c:pt>
              </c:strCache>
            </c:strRef>
          </c:tx>
          <c:spPr>
            <a:ln w="19050" cap="rnd">
              <a:solidFill>
                <a:schemeClr val="accent1"/>
              </a:solidFill>
              <a:round/>
            </a:ln>
            <a:effectLst/>
          </c:spPr>
          <c:marker>
            <c:symbol val="none"/>
          </c:marker>
          <c:xVal>
            <c:numRef>
              <c:f>'Loop Gain'!$A$2:$A$381</c:f>
              <c:numCache>
                <c:formatCode>General</c:formatCode>
                <c:ptCount val="380"/>
                <c:pt idx="0">
                  <c:v>1</c:v>
                </c:pt>
                <c:pt idx="1">
                  <c:v>10</c:v>
                </c:pt>
                <c:pt idx="2">
                  <c:v>20</c:v>
                </c:pt>
                <c:pt idx="3">
                  <c:v>30</c:v>
                </c:pt>
                <c:pt idx="4">
                  <c:v>40</c:v>
                </c:pt>
                <c:pt idx="5">
                  <c:v>50</c:v>
                </c:pt>
                <c:pt idx="6">
                  <c:v>60</c:v>
                </c:pt>
                <c:pt idx="7">
                  <c:v>70</c:v>
                </c:pt>
                <c:pt idx="8">
                  <c:v>80</c:v>
                </c:pt>
                <c:pt idx="9">
                  <c:v>90</c:v>
                </c:pt>
                <c:pt idx="10">
                  <c:v>100</c:v>
                </c:pt>
                <c:pt idx="11">
                  <c:v>200</c:v>
                </c:pt>
                <c:pt idx="12">
                  <c:v>300</c:v>
                </c:pt>
                <c:pt idx="13">
                  <c:v>400</c:v>
                </c:pt>
                <c:pt idx="14">
                  <c:v>500</c:v>
                </c:pt>
                <c:pt idx="15">
                  <c:v>600</c:v>
                </c:pt>
                <c:pt idx="16">
                  <c:v>700</c:v>
                </c:pt>
                <c:pt idx="17">
                  <c:v>800</c:v>
                </c:pt>
                <c:pt idx="18">
                  <c:v>900</c:v>
                </c:pt>
                <c:pt idx="19">
                  <c:v>1000</c:v>
                </c:pt>
                <c:pt idx="20">
                  <c:v>1100</c:v>
                </c:pt>
                <c:pt idx="21">
                  <c:v>1200</c:v>
                </c:pt>
                <c:pt idx="22">
                  <c:v>1300</c:v>
                </c:pt>
                <c:pt idx="23">
                  <c:v>1400</c:v>
                </c:pt>
                <c:pt idx="24">
                  <c:v>1500</c:v>
                </c:pt>
                <c:pt idx="25">
                  <c:v>1600</c:v>
                </c:pt>
                <c:pt idx="26">
                  <c:v>1700</c:v>
                </c:pt>
                <c:pt idx="27">
                  <c:v>1800</c:v>
                </c:pt>
                <c:pt idx="28">
                  <c:v>1900</c:v>
                </c:pt>
                <c:pt idx="29">
                  <c:v>2000</c:v>
                </c:pt>
                <c:pt idx="30">
                  <c:v>2100</c:v>
                </c:pt>
                <c:pt idx="31">
                  <c:v>2200</c:v>
                </c:pt>
                <c:pt idx="32">
                  <c:v>2300</c:v>
                </c:pt>
                <c:pt idx="33">
                  <c:v>2400</c:v>
                </c:pt>
                <c:pt idx="34">
                  <c:v>2500</c:v>
                </c:pt>
                <c:pt idx="35">
                  <c:v>2600</c:v>
                </c:pt>
                <c:pt idx="36">
                  <c:v>2700</c:v>
                </c:pt>
                <c:pt idx="37">
                  <c:v>2800</c:v>
                </c:pt>
                <c:pt idx="38">
                  <c:v>2900</c:v>
                </c:pt>
                <c:pt idx="39">
                  <c:v>3000</c:v>
                </c:pt>
                <c:pt idx="40">
                  <c:v>3100</c:v>
                </c:pt>
                <c:pt idx="41">
                  <c:v>3200</c:v>
                </c:pt>
                <c:pt idx="42">
                  <c:v>3300</c:v>
                </c:pt>
                <c:pt idx="43">
                  <c:v>3400</c:v>
                </c:pt>
                <c:pt idx="44">
                  <c:v>3500</c:v>
                </c:pt>
                <c:pt idx="45">
                  <c:v>3600</c:v>
                </c:pt>
                <c:pt idx="46">
                  <c:v>3700</c:v>
                </c:pt>
                <c:pt idx="47">
                  <c:v>3800</c:v>
                </c:pt>
                <c:pt idx="48">
                  <c:v>3900</c:v>
                </c:pt>
                <c:pt idx="49">
                  <c:v>4000</c:v>
                </c:pt>
                <c:pt idx="50">
                  <c:v>4100</c:v>
                </c:pt>
                <c:pt idx="51">
                  <c:v>4200</c:v>
                </c:pt>
                <c:pt idx="52">
                  <c:v>4300</c:v>
                </c:pt>
                <c:pt idx="53">
                  <c:v>4400</c:v>
                </c:pt>
                <c:pt idx="54">
                  <c:v>4500</c:v>
                </c:pt>
                <c:pt idx="55">
                  <c:v>4600</c:v>
                </c:pt>
                <c:pt idx="56">
                  <c:v>4700</c:v>
                </c:pt>
                <c:pt idx="57">
                  <c:v>4800</c:v>
                </c:pt>
                <c:pt idx="58">
                  <c:v>4900</c:v>
                </c:pt>
                <c:pt idx="59">
                  <c:v>5000</c:v>
                </c:pt>
                <c:pt idx="60">
                  <c:v>5100</c:v>
                </c:pt>
                <c:pt idx="61">
                  <c:v>5200</c:v>
                </c:pt>
                <c:pt idx="62">
                  <c:v>5300</c:v>
                </c:pt>
                <c:pt idx="63">
                  <c:v>5400</c:v>
                </c:pt>
                <c:pt idx="64">
                  <c:v>5500</c:v>
                </c:pt>
                <c:pt idx="65">
                  <c:v>5600</c:v>
                </c:pt>
                <c:pt idx="66">
                  <c:v>5700</c:v>
                </c:pt>
                <c:pt idx="67">
                  <c:v>5800</c:v>
                </c:pt>
                <c:pt idx="68">
                  <c:v>5900</c:v>
                </c:pt>
                <c:pt idx="69">
                  <c:v>6000</c:v>
                </c:pt>
                <c:pt idx="70">
                  <c:v>6100</c:v>
                </c:pt>
                <c:pt idx="71">
                  <c:v>6200</c:v>
                </c:pt>
                <c:pt idx="72">
                  <c:v>6300</c:v>
                </c:pt>
                <c:pt idx="73">
                  <c:v>6400</c:v>
                </c:pt>
                <c:pt idx="74">
                  <c:v>6500</c:v>
                </c:pt>
                <c:pt idx="75">
                  <c:v>6600</c:v>
                </c:pt>
                <c:pt idx="76">
                  <c:v>6700</c:v>
                </c:pt>
                <c:pt idx="77">
                  <c:v>6800</c:v>
                </c:pt>
                <c:pt idx="78">
                  <c:v>6900</c:v>
                </c:pt>
                <c:pt idx="79">
                  <c:v>7000</c:v>
                </c:pt>
                <c:pt idx="80">
                  <c:v>7100</c:v>
                </c:pt>
                <c:pt idx="81">
                  <c:v>7200</c:v>
                </c:pt>
                <c:pt idx="82">
                  <c:v>7300</c:v>
                </c:pt>
                <c:pt idx="83">
                  <c:v>7400</c:v>
                </c:pt>
                <c:pt idx="84">
                  <c:v>7500</c:v>
                </c:pt>
                <c:pt idx="85">
                  <c:v>7600</c:v>
                </c:pt>
                <c:pt idx="86">
                  <c:v>7700</c:v>
                </c:pt>
                <c:pt idx="87">
                  <c:v>7800</c:v>
                </c:pt>
                <c:pt idx="88">
                  <c:v>7900</c:v>
                </c:pt>
                <c:pt idx="89">
                  <c:v>8000</c:v>
                </c:pt>
                <c:pt idx="90">
                  <c:v>8100</c:v>
                </c:pt>
                <c:pt idx="91">
                  <c:v>8200</c:v>
                </c:pt>
                <c:pt idx="92">
                  <c:v>8300</c:v>
                </c:pt>
                <c:pt idx="93">
                  <c:v>8400</c:v>
                </c:pt>
                <c:pt idx="94">
                  <c:v>8500</c:v>
                </c:pt>
                <c:pt idx="95">
                  <c:v>8600</c:v>
                </c:pt>
                <c:pt idx="96">
                  <c:v>8700</c:v>
                </c:pt>
                <c:pt idx="97">
                  <c:v>8800</c:v>
                </c:pt>
                <c:pt idx="98">
                  <c:v>8900</c:v>
                </c:pt>
                <c:pt idx="99">
                  <c:v>9000</c:v>
                </c:pt>
                <c:pt idx="100">
                  <c:v>9100</c:v>
                </c:pt>
                <c:pt idx="101">
                  <c:v>9200</c:v>
                </c:pt>
                <c:pt idx="102">
                  <c:v>9300</c:v>
                </c:pt>
                <c:pt idx="103">
                  <c:v>9400</c:v>
                </c:pt>
                <c:pt idx="104">
                  <c:v>9500</c:v>
                </c:pt>
                <c:pt idx="105">
                  <c:v>9600</c:v>
                </c:pt>
                <c:pt idx="106">
                  <c:v>9700</c:v>
                </c:pt>
                <c:pt idx="107">
                  <c:v>9800</c:v>
                </c:pt>
                <c:pt idx="108">
                  <c:v>9900</c:v>
                </c:pt>
                <c:pt idx="109">
                  <c:v>10000</c:v>
                </c:pt>
                <c:pt idx="110">
                  <c:v>11000</c:v>
                </c:pt>
                <c:pt idx="111">
                  <c:v>12000</c:v>
                </c:pt>
                <c:pt idx="112">
                  <c:v>13000</c:v>
                </c:pt>
                <c:pt idx="113">
                  <c:v>14000</c:v>
                </c:pt>
                <c:pt idx="114">
                  <c:v>15000</c:v>
                </c:pt>
                <c:pt idx="115">
                  <c:v>16000</c:v>
                </c:pt>
                <c:pt idx="116">
                  <c:v>17000</c:v>
                </c:pt>
                <c:pt idx="117">
                  <c:v>18000</c:v>
                </c:pt>
                <c:pt idx="118">
                  <c:v>19000</c:v>
                </c:pt>
                <c:pt idx="119">
                  <c:v>20000</c:v>
                </c:pt>
                <c:pt idx="120">
                  <c:v>21000</c:v>
                </c:pt>
                <c:pt idx="121">
                  <c:v>22000</c:v>
                </c:pt>
                <c:pt idx="122">
                  <c:v>23000</c:v>
                </c:pt>
                <c:pt idx="123">
                  <c:v>24000</c:v>
                </c:pt>
                <c:pt idx="124">
                  <c:v>25000</c:v>
                </c:pt>
                <c:pt idx="125">
                  <c:v>26000</c:v>
                </c:pt>
                <c:pt idx="126">
                  <c:v>27000</c:v>
                </c:pt>
                <c:pt idx="127">
                  <c:v>28000</c:v>
                </c:pt>
                <c:pt idx="128">
                  <c:v>29000</c:v>
                </c:pt>
                <c:pt idx="129">
                  <c:v>30000</c:v>
                </c:pt>
                <c:pt idx="130">
                  <c:v>31000</c:v>
                </c:pt>
                <c:pt idx="131">
                  <c:v>32000</c:v>
                </c:pt>
                <c:pt idx="132">
                  <c:v>33000</c:v>
                </c:pt>
                <c:pt idx="133">
                  <c:v>34000</c:v>
                </c:pt>
                <c:pt idx="134">
                  <c:v>35000</c:v>
                </c:pt>
                <c:pt idx="135">
                  <c:v>36000</c:v>
                </c:pt>
                <c:pt idx="136">
                  <c:v>37000</c:v>
                </c:pt>
                <c:pt idx="137">
                  <c:v>38000</c:v>
                </c:pt>
                <c:pt idx="138">
                  <c:v>39000</c:v>
                </c:pt>
                <c:pt idx="139">
                  <c:v>40000</c:v>
                </c:pt>
                <c:pt idx="140">
                  <c:v>41000</c:v>
                </c:pt>
                <c:pt idx="141">
                  <c:v>42000</c:v>
                </c:pt>
                <c:pt idx="142">
                  <c:v>43000</c:v>
                </c:pt>
                <c:pt idx="143">
                  <c:v>44000</c:v>
                </c:pt>
                <c:pt idx="144">
                  <c:v>45000</c:v>
                </c:pt>
                <c:pt idx="145">
                  <c:v>46000</c:v>
                </c:pt>
                <c:pt idx="146">
                  <c:v>47000</c:v>
                </c:pt>
                <c:pt idx="147">
                  <c:v>48000</c:v>
                </c:pt>
                <c:pt idx="148">
                  <c:v>49000</c:v>
                </c:pt>
                <c:pt idx="149">
                  <c:v>50000</c:v>
                </c:pt>
                <c:pt idx="150">
                  <c:v>51000</c:v>
                </c:pt>
                <c:pt idx="151">
                  <c:v>52000</c:v>
                </c:pt>
                <c:pt idx="152">
                  <c:v>53000</c:v>
                </c:pt>
                <c:pt idx="153">
                  <c:v>54000</c:v>
                </c:pt>
                <c:pt idx="154">
                  <c:v>55000</c:v>
                </c:pt>
                <c:pt idx="155">
                  <c:v>56000</c:v>
                </c:pt>
                <c:pt idx="156">
                  <c:v>57000</c:v>
                </c:pt>
                <c:pt idx="157">
                  <c:v>58000</c:v>
                </c:pt>
                <c:pt idx="158">
                  <c:v>59000</c:v>
                </c:pt>
                <c:pt idx="159">
                  <c:v>60000</c:v>
                </c:pt>
                <c:pt idx="160">
                  <c:v>61000</c:v>
                </c:pt>
                <c:pt idx="161">
                  <c:v>62000</c:v>
                </c:pt>
                <c:pt idx="162">
                  <c:v>63000</c:v>
                </c:pt>
                <c:pt idx="163">
                  <c:v>64000</c:v>
                </c:pt>
                <c:pt idx="164">
                  <c:v>65000</c:v>
                </c:pt>
                <c:pt idx="165">
                  <c:v>66000</c:v>
                </c:pt>
                <c:pt idx="166">
                  <c:v>67000</c:v>
                </c:pt>
                <c:pt idx="167">
                  <c:v>68000</c:v>
                </c:pt>
                <c:pt idx="168">
                  <c:v>69000</c:v>
                </c:pt>
                <c:pt idx="169">
                  <c:v>70000</c:v>
                </c:pt>
                <c:pt idx="170">
                  <c:v>71000</c:v>
                </c:pt>
                <c:pt idx="171">
                  <c:v>72000</c:v>
                </c:pt>
                <c:pt idx="172">
                  <c:v>73000</c:v>
                </c:pt>
                <c:pt idx="173">
                  <c:v>74000</c:v>
                </c:pt>
                <c:pt idx="174">
                  <c:v>75000</c:v>
                </c:pt>
                <c:pt idx="175">
                  <c:v>76000</c:v>
                </c:pt>
                <c:pt idx="176">
                  <c:v>77000</c:v>
                </c:pt>
                <c:pt idx="177">
                  <c:v>78000</c:v>
                </c:pt>
                <c:pt idx="178">
                  <c:v>79000</c:v>
                </c:pt>
                <c:pt idx="179">
                  <c:v>80000</c:v>
                </c:pt>
                <c:pt idx="180">
                  <c:v>81000</c:v>
                </c:pt>
                <c:pt idx="181">
                  <c:v>82000</c:v>
                </c:pt>
                <c:pt idx="182">
                  <c:v>83000</c:v>
                </c:pt>
                <c:pt idx="183">
                  <c:v>84000</c:v>
                </c:pt>
                <c:pt idx="184">
                  <c:v>85000</c:v>
                </c:pt>
                <c:pt idx="185">
                  <c:v>86000</c:v>
                </c:pt>
                <c:pt idx="186">
                  <c:v>87000</c:v>
                </c:pt>
                <c:pt idx="187">
                  <c:v>88000</c:v>
                </c:pt>
                <c:pt idx="188">
                  <c:v>89000</c:v>
                </c:pt>
                <c:pt idx="189">
                  <c:v>90000</c:v>
                </c:pt>
                <c:pt idx="190">
                  <c:v>91000</c:v>
                </c:pt>
                <c:pt idx="191">
                  <c:v>92000</c:v>
                </c:pt>
                <c:pt idx="192">
                  <c:v>93000</c:v>
                </c:pt>
                <c:pt idx="193">
                  <c:v>94000</c:v>
                </c:pt>
                <c:pt idx="194">
                  <c:v>95000</c:v>
                </c:pt>
                <c:pt idx="195">
                  <c:v>96000</c:v>
                </c:pt>
                <c:pt idx="196">
                  <c:v>97000</c:v>
                </c:pt>
                <c:pt idx="197">
                  <c:v>98000</c:v>
                </c:pt>
                <c:pt idx="198">
                  <c:v>99000</c:v>
                </c:pt>
                <c:pt idx="199">
                  <c:v>100000</c:v>
                </c:pt>
                <c:pt idx="200">
                  <c:v>110000</c:v>
                </c:pt>
                <c:pt idx="201">
                  <c:v>120000</c:v>
                </c:pt>
                <c:pt idx="202">
                  <c:v>130000</c:v>
                </c:pt>
                <c:pt idx="203">
                  <c:v>140000</c:v>
                </c:pt>
                <c:pt idx="204">
                  <c:v>150000</c:v>
                </c:pt>
                <c:pt idx="205">
                  <c:v>160000</c:v>
                </c:pt>
                <c:pt idx="206">
                  <c:v>170000</c:v>
                </c:pt>
                <c:pt idx="207">
                  <c:v>180000</c:v>
                </c:pt>
                <c:pt idx="208">
                  <c:v>190000</c:v>
                </c:pt>
                <c:pt idx="209">
                  <c:v>200000</c:v>
                </c:pt>
                <c:pt idx="210">
                  <c:v>210000</c:v>
                </c:pt>
                <c:pt idx="211">
                  <c:v>220000</c:v>
                </c:pt>
                <c:pt idx="212">
                  <c:v>230000</c:v>
                </c:pt>
                <c:pt idx="213">
                  <c:v>240000</c:v>
                </c:pt>
                <c:pt idx="214">
                  <c:v>250000</c:v>
                </c:pt>
                <c:pt idx="215">
                  <c:v>260000</c:v>
                </c:pt>
                <c:pt idx="216">
                  <c:v>270000</c:v>
                </c:pt>
                <c:pt idx="217">
                  <c:v>280000</c:v>
                </c:pt>
                <c:pt idx="218">
                  <c:v>290000</c:v>
                </c:pt>
                <c:pt idx="219">
                  <c:v>300000</c:v>
                </c:pt>
                <c:pt idx="220">
                  <c:v>310000</c:v>
                </c:pt>
                <c:pt idx="221">
                  <c:v>320000</c:v>
                </c:pt>
                <c:pt idx="222">
                  <c:v>330000</c:v>
                </c:pt>
                <c:pt idx="223">
                  <c:v>340000</c:v>
                </c:pt>
                <c:pt idx="224">
                  <c:v>350000</c:v>
                </c:pt>
                <c:pt idx="225">
                  <c:v>360000</c:v>
                </c:pt>
                <c:pt idx="226">
                  <c:v>370000</c:v>
                </c:pt>
                <c:pt idx="227">
                  <c:v>380000</c:v>
                </c:pt>
                <c:pt idx="228">
                  <c:v>390000</c:v>
                </c:pt>
                <c:pt idx="229">
                  <c:v>400000</c:v>
                </c:pt>
                <c:pt idx="230">
                  <c:v>410000</c:v>
                </c:pt>
                <c:pt idx="231">
                  <c:v>420000</c:v>
                </c:pt>
                <c:pt idx="232">
                  <c:v>430000</c:v>
                </c:pt>
                <c:pt idx="233">
                  <c:v>440000</c:v>
                </c:pt>
                <c:pt idx="234">
                  <c:v>450000</c:v>
                </c:pt>
                <c:pt idx="235">
                  <c:v>460000</c:v>
                </c:pt>
                <c:pt idx="236">
                  <c:v>470000</c:v>
                </c:pt>
                <c:pt idx="237">
                  <c:v>480000</c:v>
                </c:pt>
                <c:pt idx="238">
                  <c:v>490000</c:v>
                </c:pt>
                <c:pt idx="239">
                  <c:v>500000</c:v>
                </c:pt>
                <c:pt idx="240">
                  <c:v>510000</c:v>
                </c:pt>
                <c:pt idx="241">
                  <c:v>520000</c:v>
                </c:pt>
                <c:pt idx="242">
                  <c:v>530000</c:v>
                </c:pt>
                <c:pt idx="243">
                  <c:v>540000</c:v>
                </c:pt>
                <c:pt idx="244">
                  <c:v>550000</c:v>
                </c:pt>
                <c:pt idx="245">
                  <c:v>560000</c:v>
                </c:pt>
                <c:pt idx="246">
                  <c:v>570000</c:v>
                </c:pt>
                <c:pt idx="247">
                  <c:v>580000</c:v>
                </c:pt>
                <c:pt idx="248">
                  <c:v>590000</c:v>
                </c:pt>
                <c:pt idx="249">
                  <c:v>600000</c:v>
                </c:pt>
                <c:pt idx="250">
                  <c:v>610000</c:v>
                </c:pt>
                <c:pt idx="251">
                  <c:v>620000</c:v>
                </c:pt>
                <c:pt idx="252">
                  <c:v>630000</c:v>
                </c:pt>
                <c:pt idx="253">
                  <c:v>640000</c:v>
                </c:pt>
                <c:pt idx="254">
                  <c:v>650000</c:v>
                </c:pt>
                <c:pt idx="255">
                  <c:v>660000</c:v>
                </c:pt>
                <c:pt idx="256">
                  <c:v>670000</c:v>
                </c:pt>
                <c:pt idx="257">
                  <c:v>680000</c:v>
                </c:pt>
                <c:pt idx="258">
                  <c:v>690000</c:v>
                </c:pt>
                <c:pt idx="259">
                  <c:v>700000</c:v>
                </c:pt>
                <c:pt idx="260">
                  <c:v>710000</c:v>
                </c:pt>
                <c:pt idx="261">
                  <c:v>720000</c:v>
                </c:pt>
                <c:pt idx="262">
                  <c:v>730000</c:v>
                </c:pt>
                <c:pt idx="263">
                  <c:v>740000</c:v>
                </c:pt>
                <c:pt idx="264">
                  <c:v>750000</c:v>
                </c:pt>
                <c:pt idx="265">
                  <c:v>760000</c:v>
                </c:pt>
                <c:pt idx="266">
                  <c:v>770000</c:v>
                </c:pt>
                <c:pt idx="267">
                  <c:v>780000</c:v>
                </c:pt>
                <c:pt idx="268">
                  <c:v>790000</c:v>
                </c:pt>
                <c:pt idx="269">
                  <c:v>800000</c:v>
                </c:pt>
                <c:pt idx="270">
                  <c:v>810000</c:v>
                </c:pt>
                <c:pt idx="271">
                  <c:v>820000</c:v>
                </c:pt>
                <c:pt idx="272">
                  <c:v>830000</c:v>
                </c:pt>
                <c:pt idx="273">
                  <c:v>840000</c:v>
                </c:pt>
                <c:pt idx="274">
                  <c:v>850000</c:v>
                </c:pt>
                <c:pt idx="275">
                  <c:v>860000</c:v>
                </c:pt>
                <c:pt idx="276">
                  <c:v>870000</c:v>
                </c:pt>
                <c:pt idx="277">
                  <c:v>880000</c:v>
                </c:pt>
                <c:pt idx="278">
                  <c:v>890000</c:v>
                </c:pt>
                <c:pt idx="279">
                  <c:v>900000</c:v>
                </c:pt>
                <c:pt idx="280">
                  <c:v>910000</c:v>
                </c:pt>
                <c:pt idx="281">
                  <c:v>920000</c:v>
                </c:pt>
                <c:pt idx="282">
                  <c:v>930000</c:v>
                </c:pt>
                <c:pt idx="283">
                  <c:v>940000</c:v>
                </c:pt>
                <c:pt idx="284">
                  <c:v>950000</c:v>
                </c:pt>
                <c:pt idx="285">
                  <c:v>960000</c:v>
                </c:pt>
                <c:pt idx="286">
                  <c:v>970000</c:v>
                </c:pt>
                <c:pt idx="287">
                  <c:v>980000</c:v>
                </c:pt>
                <c:pt idx="288">
                  <c:v>990000</c:v>
                </c:pt>
                <c:pt idx="289">
                  <c:v>1000000</c:v>
                </c:pt>
                <c:pt idx="290">
                  <c:v>1100000</c:v>
                </c:pt>
                <c:pt idx="291">
                  <c:v>1200000</c:v>
                </c:pt>
                <c:pt idx="292">
                  <c:v>1300000</c:v>
                </c:pt>
                <c:pt idx="293">
                  <c:v>1400000</c:v>
                </c:pt>
                <c:pt idx="294">
                  <c:v>1500000</c:v>
                </c:pt>
                <c:pt idx="295">
                  <c:v>1600000</c:v>
                </c:pt>
                <c:pt idx="296">
                  <c:v>1700000</c:v>
                </c:pt>
                <c:pt idx="297">
                  <c:v>1800000</c:v>
                </c:pt>
                <c:pt idx="298">
                  <c:v>1900000</c:v>
                </c:pt>
                <c:pt idx="299">
                  <c:v>2000000</c:v>
                </c:pt>
                <c:pt idx="300">
                  <c:v>2100000</c:v>
                </c:pt>
                <c:pt idx="301">
                  <c:v>2200000</c:v>
                </c:pt>
                <c:pt idx="302">
                  <c:v>2300000</c:v>
                </c:pt>
                <c:pt idx="303">
                  <c:v>2400000</c:v>
                </c:pt>
                <c:pt idx="304">
                  <c:v>2500000</c:v>
                </c:pt>
                <c:pt idx="305">
                  <c:v>2600000</c:v>
                </c:pt>
                <c:pt idx="306">
                  <c:v>2700000</c:v>
                </c:pt>
                <c:pt idx="307">
                  <c:v>2800000</c:v>
                </c:pt>
                <c:pt idx="308">
                  <c:v>2900000</c:v>
                </c:pt>
                <c:pt idx="309">
                  <c:v>3000000</c:v>
                </c:pt>
                <c:pt idx="310">
                  <c:v>3100000</c:v>
                </c:pt>
                <c:pt idx="311">
                  <c:v>3200000</c:v>
                </c:pt>
                <c:pt idx="312">
                  <c:v>3300000</c:v>
                </c:pt>
                <c:pt idx="313">
                  <c:v>3400000</c:v>
                </c:pt>
                <c:pt idx="314">
                  <c:v>3500000</c:v>
                </c:pt>
                <c:pt idx="315">
                  <c:v>3600000</c:v>
                </c:pt>
                <c:pt idx="316">
                  <c:v>3700000</c:v>
                </c:pt>
                <c:pt idx="317">
                  <c:v>3800000</c:v>
                </c:pt>
                <c:pt idx="318">
                  <c:v>3900000</c:v>
                </c:pt>
                <c:pt idx="319">
                  <c:v>4000000</c:v>
                </c:pt>
                <c:pt idx="320">
                  <c:v>4100000</c:v>
                </c:pt>
                <c:pt idx="321">
                  <c:v>4200000</c:v>
                </c:pt>
                <c:pt idx="322">
                  <c:v>4300000</c:v>
                </c:pt>
                <c:pt idx="323">
                  <c:v>4400000</c:v>
                </c:pt>
                <c:pt idx="324">
                  <c:v>4500000</c:v>
                </c:pt>
                <c:pt idx="325">
                  <c:v>4600000</c:v>
                </c:pt>
                <c:pt idx="326">
                  <c:v>4700000</c:v>
                </c:pt>
                <c:pt idx="327">
                  <c:v>4800000</c:v>
                </c:pt>
                <c:pt idx="328">
                  <c:v>4900000</c:v>
                </c:pt>
                <c:pt idx="329">
                  <c:v>5000000</c:v>
                </c:pt>
                <c:pt idx="330">
                  <c:v>5100000</c:v>
                </c:pt>
                <c:pt idx="331">
                  <c:v>5200000</c:v>
                </c:pt>
                <c:pt idx="332">
                  <c:v>5300000</c:v>
                </c:pt>
                <c:pt idx="333">
                  <c:v>5400000</c:v>
                </c:pt>
                <c:pt idx="334">
                  <c:v>5500000</c:v>
                </c:pt>
                <c:pt idx="335">
                  <c:v>5600000</c:v>
                </c:pt>
                <c:pt idx="336">
                  <c:v>5700000</c:v>
                </c:pt>
                <c:pt idx="337">
                  <c:v>5800000</c:v>
                </c:pt>
                <c:pt idx="338">
                  <c:v>5900000</c:v>
                </c:pt>
                <c:pt idx="339">
                  <c:v>6000000</c:v>
                </c:pt>
                <c:pt idx="340">
                  <c:v>6100000</c:v>
                </c:pt>
                <c:pt idx="341">
                  <c:v>6200000</c:v>
                </c:pt>
                <c:pt idx="342">
                  <c:v>6300000</c:v>
                </c:pt>
                <c:pt idx="343">
                  <c:v>6400000</c:v>
                </c:pt>
                <c:pt idx="344">
                  <c:v>6500000</c:v>
                </c:pt>
                <c:pt idx="345">
                  <c:v>6600000</c:v>
                </c:pt>
                <c:pt idx="346">
                  <c:v>6700000</c:v>
                </c:pt>
                <c:pt idx="347">
                  <c:v>6800000</c:v>
                </c:pt>
                <c:pt idx="348">
                  <c:v>6900000</c:v>
                </c:pt>
                <c:pt idx="349">
                  <c:v>7000000</c:v>
                </c:pt>
                <c:pt idx="350">
                  <c:v>7100000</c:v>
                </c:pt>
                <c:pt idx="351">
                  <c:v>7200000</c:v>
                </c:pt>
                <c:pt idx="352">
                  <c:v>7300000</c:v>
                </c:pt>
                <c:pt idx="353">
                  <c:v>7400000</c:v>
                </c:pt>
                <c:pt idx="354">
                  <c:v>7500000</c:v>
                </c:pt>
                <c:pt idx="355">
                  <c:v>7600000</c:v>
                </c:pt>
                <c:pt idx="356">
                  <c:v>7700000</c:v>
                </c:pt>
                <c:pt idx="357">
                  <c:v>7800000</c:v>
                </c:pt>
                <c:pt idx="358">
                  <c:v>7900000</c:v>
                </c:pt>
                <c:pt idx="359">
                  <c:v>8000000</c:v>
                </c:pt>
                <c:pt idx="360">
                  <c:v>8100000</c:v>
                </c:pt>
                <c:pt idx="361">
                  <c:v>8200000</c:v>
                </c:pt>
                <c:pt idx="362">
                  <c:v>8300000</c:v>
                </c:pt>
                <c:pt idx="363">
                  <c:v>8400000</c:v>
                </c:pt>
                <c:pt idx="364">
                  <c:v>8500000</c:v>
                </c:pt>
                <c:pt idx="365">
                  <c:v>8600000</c:v>
                </c:pt>
                <c:pt idx="366">
                  <c:v>8700000</c:v>
                </c:pt>
                <c:pt idx="367">
                  <c:v>8800000</c:v>
                </c:pt>
                <c:pt idx="368">
                  <c:v>8900000</c:v>
                </c:pt>
                <c:pt idx="369">
                  <c:v>9000000</c:v>
                </c:pt>
                <c:pt idx="370">
                  <c:v>9100000</c:v>
                </c:pt>
                <c:pt idx="371">
                  <c:v>9200000</c:v>
                </c:pt>
                <c:pt idx="372">
                  <c:v>9300000</c:v>
                </c:pt>
                <c:pt idx="373">
                  <c:v>9400000</c:v>
                </c:pt>
                <c:pt idx="374">
                  <c:v>9500000</c:v>
                </c:pt>
                <c:pt idx="375">
                  <c:v>9600000</c:v>
                </c:pt>
                <c:pt idx="376">
                  <c:v>9700000</c:v>
                </c:pt>
                <c:pt idx="377">
                  <c:v>9800000</c:v>
                </c:pt>
                <c:pt idx="378">
                  <c:v>9900000</c:v>
                </c:pt>
                <c:pt idx="379">
                  <c:v>10000000</c:v>
                </c:pt>
              </c:numCache>
            </c:numRef>
          </c:xVal>
          <c:yVal>
            <c:numRef>
              <c:f>'Loop Gain'!$H$2:$H$381</c:f>
              <c:numCache>
                <c:formatCode>General</c:formatCode>
                <c:ptCount val="380"/>
                <c:pt idx="0">
                  <c:v>36.837872887334846</c:v>
                </c:pt>
                <c:pt idx="1">
                  <c:v>36.828899956887732</c:v>
                </c:pt>
                <c:pt idx="2">
                  <c:v>36.801821921779933</c:v>
                </c:pt>
                <c:pt idx="3">
                  <c:v>36.757063703989274</c:v>
                </c:pt>
                <c:pt idx="4">
                  <c:v>36.695167187167108</c:v>
                </c:pt>
                <c:pt idx="5">
                  <c:v>36.616860625015107</c:v>
                </c:pt>
                <c:pt idx="6">
                  <c:v>36.52303126090515</c:v>
                </c:pt>
                <c:pt idx="7">
                  <c:v>36.41469394992442</c:v>
                </c:pt>
                <c:pt idx="8">
                  <c:v>36.292957942428245</c:v>
                </c:pt>
                <c:pt idx="9">
                  <c:v>36.158993854617108</c:v>
                </c:pt>
                <c:pt idx="10">
                  <c:v>36.014002539705189</c:v>
                </c:pt>
                <c:pt idx="11">
                  <c:v>34.200045871540759</c:v>
                </c:pt>
                <c:pt idx="12">
                  <c:v>32.243723853448657</c:v>
                </c:pt>
                <c:pt idx="13">
                  <c:v>30.460525907800829</c:v>
                </c:pt>
                <c:pt idx="14">
                  <c:v>28.898238258417557</c:v>
                </c:pt>
                <c:pt idx="15">
                  <c:v>27.533380895457785</c:v>
                </c:pt>
                <c:pt idx="16">
                  <c:v>26.331944084664482</c:v>
                </c:pt>
                <c:pt idx="17">
                  <c:v>25.263796103712011</c:v>
                </c:pt>
                <c:pt idx="18">
                  <c:v>24.304809821464751</c:v>
                </c:pt>
                <c:pt idx="19">
                  <c:v>23.43613694234628</c:v>
                </c:pt>
                <c:pt idx="20">
                  <c:v>22.643060865362376</c:v>
                </c:pt>
                <c:pt idx="21">
                  <c:v>21.913996793406071</c:v>
                </c:pt>
                <c:pt idx="22">
                  <c:v>21.239722563866987</c:v>
                </c:pt>
                <c:pt idx="23">
                  <c:v>20.612808697987536</c:v>
                </c:pt>
                <c:pt idx="24">
                  <c:v>20.027199557737386</c:v>
                </c:pt>
                <c:pt idx="25">
                  <c:v>19.477904482451148</c:v>
                </c:pt>
                <c:pt idx="26">
                  <c:v>18.960768081156193</c:v>
                </c:pt>
                <c:pt idx="27">
                  <c:v>18.472297573788705</c:v>
                </c:pt>
                <c:pt idx="28">
                  <c:v>18.009531539501157</c:v>
                </c:pt>
                <c:pt idx="29">
                  <c:v>17.569939009672005</c:v>
                </c:pt>
                <c:pt idx="30">
                  <c:v>17.151341037358641</c:v>
                </c:pt>
                <c:pt idx="31">
                  <c:v>16.751849098291313</c:v>
                </c:pt>
                <c:pt idx="32">
                  <c:v>16.36981623299317</c:v>
                </c:pt>
                <c:pt idx="33">
                  <c:v>16.003797934813935</c:v>
                </c:pt>
                <c:pt idx="34">
                  <c:v>15.652520567455905</c:v>
                </c:pt>
                <c:pt idx="35">
                  <c:v>15.314855654899354</c:v>
                </c:pt>
                <c:pt idx="36">
                  <c:v>14.989798792446972</c:v>
                </c:pt>
                <c:pt idx="37">
                  <c:v>14.676452225004201</c:v>
                </c:pt>
                <c:pt idx="38">
                  <c:v>14.374010358814003</c:v>
                </c:pt>
                <c:pt idx="39">
                  <c:v>14.081747637299976</c:v>
                </c:pt>
                <c:pt idx="40">
                  <c:v>13.799008335647091</c:v>
                </c:pt>
                <c:pt idx="41">
                  <c:v>13.525197923024912</c:v>
                </c:pt>
                <c:pt idx="42">
                  <c:v>13.259775713651241</c:v>
                </c:pt>
                <c:pt idx="43">
                  <c:v>13.00224858376162</c:v>
                </c:pt>
                <c:pt idx="44">
                  <c:v>12.752165575053859</c:v>
                </c:pt>
                <c:pt idx="45">
                  <c:v>12.509113239287341</c:v>
                </c:pt>
                <c:pt idx="46">
                  <c:v>12.272711605651544</c:v>
                </c:pt>
                <c:pt idx="47">
                  <c:v>12.042610673916009</c:v>
                </c:pt>
                <c:pt idx="48">
                  <c:v>11.81848735348523</c:v>
                </c:pt>
                <c:pt idx="49">
                  <c:v>11.600042782237301</c:v>
                </c:pt>
                <c:pt idx="50">
                  <c:v>11.386999970149827</c:v>
                </c:pt>
                <c:pt idx="51">
                  <c:v>11.179101721760809</c:v>
                </c:pt>
                <c:pt idx="52">
                  <c:v>10.976108798898212</c:v>
                </c:pt>
                <c:pt idx="53">
                  <c:v>10.777798291178325</c:v>
                </c:pt>
                <c:pt idx="54">
                  <c:v>10.583962166774004</c:v>
                </c:pt>
                <c:pt idx="55">
                  <c:v>10.394405980098721</c:v>
                </c:pt>
                <c:pt idx="56">
                  <c:v>10.208947716497738</c:v>
                </c:pt>
                <c:pt idx="57">
                  <c:v>10.027416756917454</c:v>
                </c:pt>
                <c:pt idx="58">
                  <c:v>9.8496529479372548</c:v>
                </c:pt>
                <c:pt idx="59">
                  <c:v>9.6755057645803237</c:v>
                </c:pt>
                <c:pt idx="60">
                  <c:v>9.5048335550350256</c:v>
                </c:pt>
                <c:pt idx="61">
                  <c:v>9.3375028578720318</c:v>
                </c:pt>
                <c:pt idx="62">
                  <c:v>9.1733877835798836</c:v>
                </c:pt>
                <c:pt idx="63">
                  <c:v>9.0123694532953511</c:v>
                </c:pt>
                <c:pt idx="64">
                  <c:v>8.8543354885069423</c:v>
                </c:pt>
                <c:pt idx="65">
                  <c:v>8.6991795462845083</c:v>
                </c:pt>
                <c:pt idx="66">
                  <c:v>8.5468008952544245</c:v>
                </c:pt>
                <c:pt idx="67">
                  <c:v>8.3971040281133149</c:v>
                </c:pt>
                <c:pt idx="68">
                  <c:v>8.2499983069725022</c:v>
                </c:pt>
                <c:pt idx="69">
                  <c:v>8.1053976382541322</c:v>
                </c:pt>
                <c:pt idx="70">
                  <c:v>7.9632201742375752</c:v>
                </c:pt>
                <c:pt idx="71">
                  <c:v>7.8233880386799459</c:v>
                </c:pt>
                <c:pt idx="72">
                  <c:v>7.6858270742196835</c:v>
                </c:pt>
                <c:pt idx="73">
                  <c:v>7.5504666095240456</c:v>
                </c:pt>
                <c:pt idx="74">
                  <c:v>7.4172392443582824</c:v>
                </c:pt>
                <c:pt idx="75">
                  <c:v>7.2860806509489251</c:v>
                </c:pt>
                <c:pt idx="76">
                  <c:v>7.1569293901818583</c:v>
                </c:pt>
                <c:pt idx="77">
                  <c:v>7.0297267413277984</c:v>
                </c:pt>
                <c:pt idx="78">
                  <c:v>6.9044165441176988</c:v>
                </c:pt>
                <c:pt idx="79">
                  <c:v>6.7809450521109591</c:v>
                </c:pt>
                <c:pt idx="80">
                  <c:v>6.6592607964008401</c:v>
                </c:pt>
                <c:pt idx="81">
                  <c:v>6.5393144587963636</c:v>
                </c:pt>
                <c:pt idx="82">
                  <c:v>6.4210587537016073</c:v>
                </c:pt>
                <c:pt idx="83">
                  <c:v>6.3044483179860649</c:v>
                </c:pt>
                <c:pt idx="84">
                  <c:v>6.1894396082078416</c:v>
                </c:pt>
                <c:pt idx="85">
                  <c:v>6.0759908046077111</c:v>
                </c:pt>
                <c:pt idx="86">
                  <c:v>5.9640617213468943</c:v>
                </c:pt>
                <c:pt idx="87">
                  <c:v>5.8536137225076459</c:v>
                </c:pt>
                <c:pt idx="88">
                  <c:v>5.7446096434186398</c:v>
                </c:pt>
                <c:pt idx="89">
                  <c:v>5.6370137169055674</c:v>
                </c:pt>
                <c:pt idx="90">
                  <c:v>5.5307915041019529</c:v>
                </c:pt>
                <c:pt idx="91">
                  <c:v>5.425909829485601</c:v>
                </c:pt>
                <c:pt idx="92">
                  <c:v>5.3223367198358282</c:v>
                </c:pt>
                <c:pt idx="93">
                  <c:v>5.2200413468301985</c:v>
                </c:pt>
                <c:pt idx="94">
                  <c:v>5.118993973024649</c:v>
                </c:pt>
                <c:pt idx="95">
                  <c:v>5.0191659009791731</c:v>
                </c:pt>
                <c:pt idx="96">
                  <c:v>4.9205294253137719</c:v>
                </c:pt>
                <c:pt idx="97">
                  <c:v>4.8230577874929645</c:v>
                </c:pt>
                <c:pt idx="98">
                  <c:v>4.7267251331554148</c:v>
                </c:pt>
                <c:pt idx="99">
                  <c:v>4.6315064718192822</c:v>
                </c:pt>
                <c:pt idx="100">
                  <c:v>4.537377638805081</c:v>
                </c:pt>
                <c:pt idx="101">
                  <c:v>4.4443152592330009</c:v>
                </c:pt>
                <c:pt idx="102">
                  <c:v>4.3522967139586166</c:v>
                </c:pt>
                <c:pt idx="103">
                  <c:v>4.2613001073253391</c:v>
                </c:pt>
                <c:pt idx="104">
                  <c:v>4.1713042366164279</c:v>
                </c:pt>
                <c:pt idx="105">
                  <c:v>4.08228856310257</c:v>
                </c:pt>
                <c:pt idx="106">
                  <c:v>3.9942331845835115</c:v>
                </c:pt>
                <c:pt idx="107">
                  <c:v>3.9071188093347091</c:v>
                </c:pt>
                <c:pt idx="108">
                  <c:v>3.8209267313720243</c:v>
                </c:pt>
                <c:pt idx="109">
                  <c:v>3.735638806955885</c:v>
                </c:pt>
                <c:pt idx="110">
                  <c:v>2.9288567716054641</c:v>
                </c:pt>
                <c:pt idx="111">
                  <c:v>2.1959690385981259</c:v>
                </c:pt>
                <c:pt idx="112">
                  <c:v>1.5254281164122243</c:v>
                </c:pt>
                <c:pt idx="113">
                  <c:v>0.90824908517205583</c:v>
                </c:pt>
                <c:pt idx="114">
                  <c:v>0.3373016623213877</c:v>
                </c:pt>
                <c:pt idx="115">
                  <c:v>-0.19316910092909373</c:v>
                </c:pt>
                <c:pt idx="116">
                  <c:v>-0.68787672282762213</c:v>
                </c:pt>
                <c:pt idx="117">
                  <c:v>-1.1507316938471568</c:v>
                </c:pt>
                <c:pt idx="118">
                  <c:v>-1.5850153786732712</c:v>
                </c:pt>
                <c:pt idx="119">
                  <c:v>-1.9935092790270379</c:v>
                </c:pt>
                <c:pt idx="120">
                  <c:v>-2.3785927315330562</c:v>
                </c:pt>
                <c:pt idx="121">
                  <c:v>-2.742317855124031</c:v>
                </c:pt>
                <c:pt idx="122">
                  <c:v>-3.0864678184761156</c:v>
                </c:pt>
                <c:pt idx="123">
                  <c:v>-3.4126026887431844</c:v>
                </c:pt>
                <c:pt idx="124">
                  <c:v>-3.7220959047661397</c:v>
                </c:pt>
                <c:pt idx="125">
                  <c:v>-4.0161635822049471</c:v>
                </c:pt>
                <c:pt idx="126">
                  <c:v>-4.2958882747301379</c:v>
                </c:pt>
                <c:pt idx="127">
                  <c:v>-4.5622384018716327</c:v>
                </c:pt>
                <c:pt idx="128">
                  <c:v>-4.8160842567044799</c:v>
                </c:pt>
                <c:pt idx="129">
                  <c:v>-5.058211289820572</c:v>
                </c:pt>
                <c:pt idx="130">
                  <c:v>-5.2893312061617506</c:v>
                </c:pt>
                <c:pt idx="131">
                  <c:v>-5.5100912920332838</c:v>
                </c:pt>
                <c:pt idx="132">
                  <c:v>-5.7210822997144772</c:v>
                </c:pt>
                <c:pt idx="133">
                  <c:v>-5.9228451486553979</c:v>
                </c:pt>
                <c:pt idx="134">
                  <c:v>-6.1158766496844663</c:v>
                </c:pt>
                <c:pt idx="135">
                  <c:v>-6.3006344179353899</c:v>
                </c:pt>
                <c:pt idx="136">
                  <c:v>-6.4775411084045977</c:v>
                </c:pt>
                <c:pt idx="137">
                  <c:v>-6.6469880830382575</c:v>
                </c:pt>
                <c:pt idx="138">
                  <c:v>-6.8093385984280044</c:v>
                </c:pt>
                <c:pt idx="139">
                  <c:v>-6.9649305873898282</c:v>
                </c:pt>
                <c:pt idx="140">
                  <c:v>-7.114079095016054</c:v>
                </c:pt>
                <c:pt idx="141">
                  <c:v>-7.2570784195474705</c:v>
                </c:pt>
                <c:pt idx="142">
                  <c:v>-7.3942040001013414</c:v>
                </c:pt>
                <c:pt idx="143">
                  <c:v>-7.5257140865027043</c:v>
                </c:pt>
                <c:pt idx="144">
                  <c:v>-7.6518512209029392</c:v>
                </c:pt>
                <c:pt idx="145">
                  <c:v>-7.772843556279291</c:v>
                </c:pt>
                <c:pt idx="146">
                  <c:v>-7.8889060331125176</c:v>
                </c:pt>
                <c:pt idx="147">
                  <c:v>-8.0002414323805109</c:v>
                </c:pt>
                <c:pt idx="148">
                  <c:v>-8.1070413203692553</c:v>
                </c:pt>
                <c:pt idx="149">
                  <c:v>-8.2094868985905691</c:v>
                </c:pt>
                <c:pt idx="150">
                  <c:v>-8.3077497702379794</c:v>
                </c:pt>
                <c:pt idx="151">
                  <c:v>-8.4019926330408126</c:v>
                </c:pt>
                <c:pt idx="152">
                  <c:v>-8.492369907046287</c:v>
                </c:pt>
                <c:pt idx="153">
                  <c:v>-8.5790283047293254</c:v>
                </c:pt>
                <c:pt idx="154">
                  <c:v>-8.6621073498646552</c:v>
                </c:pt>
                <c:pt idx="155">
                  <c:v>-8.7417398507738788</c:v>
                </c:pt>
                <c:pt idx="156">
                  <c:v>-8.8180523328501703</c:v>
                </c:pt>
                <c:pt idx="157">
                  <c:v>-8.8911654346587596</c:v>
                </c:pt>
                <c:pt idx="158">
                  <c:v>-8.961194271385386</c:v>
                </c:pt>
                <c:pt idx="159">
                  <c:v>-9.0282487689540041</c:v>
                </c:pt>
                <c:pt idx="160">
                  <c:v>-9.0924339717409026</c:v>
                </c:pt>
                <c:pt idx="161">
                  <c:v>-9.1538503264741706</c:v>
                </c:pt>
                <c:pt idx="162">
                  <c:v>-9.2125939446100631</c:v>
                </c:pt>
                <c:pt idx="163">
                  <c:v>-9.2687568452194213</c:v>
                </c:pt>
                <c:pt idx="164">
                  <c:v>-9.3224271801926477</c:v>
                </c:pt>
                <c:pt idx="165">
                  <c:v>-9.3736894433729105</c:v>
                </c:pt>
                <c:pt idx="166">
                  <c:v>-9.4226246650556753</c:v>
                </c:pt>
                <c:pt idx="167">
                  <c:v>-9.4693105931381663</c:v>
                </c:pt>
                <c:pt idx="168">
                  <c:v>-9.5138218620705679</c:v>
                </c:pt>
                <c:pt idx="169">
                  <c:v>-9.5562301506405749</c:v>
                </c:pt>
                <c:pt idx="170">
                  <c:v>-9.5966043295202379</c:v>
                </c:pt>
                <c:pt idx="171">
                  <c:v>-9.6350105994098705</c:v>
                </c:pt>
                <c:pt idx="172">
                  <c:v>-9.6715126205327344</c:v>
                </c:pt>
                <c:pt idx="173">
                  <c:v>-9.7061716341620023</c:v>
                </c:pt>
                <c:pt idx="174">
                  <c:v>-9.7390465767948626</c:v>
                </c:pt>
                <c:pt idx="175">
                  <c:v>-9.7701941875337432</c:v>
                </c:pt>
                <c:pt idx="176">
                  <c:v>-9.7996691091799448</c:v>
                </c:pt>
                <c:pt idx="177">
                  <c:v>-9.8275239835016279</c:v>
                </c:pt>
                <c:pt idx="178">
                  <c:v>-9.8538095410967106</c:v>
                </c:pt>
                <c:pt idx="179">
                  <c:v>-9.8785746862314436</c:v>
                </c:pt>
                <c:pt idx="180">
                  <c:v>-9.9018665770066434</c:v>
                </c:pt>
                <c:pt idx="181">
                  <c:v>-9.9237307011712712</c:v>
                </c:pt>
                <c:pt idx="182">
                  <c:v>-9.9442109478755185</c:v>
                </c:pt>
                <c:pt idx="183">
                  <c:v>-9.9633496756340136</c:v>
                </c:pt>
                <c:pt idx="184">
                  <c:v>-9.9811877767452586</c:v>
                </c:pt>
                <c:pt idx="185">
                  <c:v>-9.9977647383962438</c:v>
                </c:pt>
                <c:pt idx="186">
                  <c:v>-10.01311870066057</c:v>
                </c:pt>
                <c:pt idx="187">
                  <c:v>-10.027286511584473</c:v>
                </c:pt>
                <c:pt idx="188">
                  <c:v>-10.040303779539572</c:v>
                </c:pt>
                <c:pt idx="189">
                  <c:v>-10.052204923006951</c:v>
                </c:pt>
                <c:pt idx="190">
                  <c:v>-10.063023217947437</c:v>
                </c:pt>
                <c:pt idx="191">
                  <c:v>-10.072790842898048</c:v>
                </c:pt>
                <c:pt idx="192">
                  <c:v>-10.081538921928519</c:v>
                </c:pt>
                <c:pt idx="193">
                  <c:v>-10.089297565579184</c:v>
                </c:pt>
                <c:pt idx="194">
                  <c:v>-10.096095909895615</c:v>
                </c:pt>
                <c:pt idx="195">
                  <c:v>-10.101962153664925</c:v>
                </c:pt>
                <c:pt idx="196">
                  <c:v>-10.106923593954583</c:v>
                </c:pt>
                <c:pt idx="197">
                  <c:v>-10.111006660044616</c:v>
                </c:pt>
                <c:pt idx="198">
                  <c:v>-10.114236945841565</c:v>
                </c:pt>
                <c:pt idx="199">
                  <c:v>-10.11663924085366</c:v>
                </c:pt>
                <c:pt idx="200">
                  <c:v>-10.100056869253093</c:v>
                </c:pt>
                <c:pt idx="201">
                  <c:v>-10.02296524542588</c:v>
                </c:pt>
                <c:pt idx="202">
                  <c:v>-9.9005329256887755</c:v>
                </c:pt>
                <c:pt idx="203">
                  <c:v>-9.7441286847202182</c:v>
                </c:pt>
                <c:pt idx="204">
                  <c:v>-9.5623660613295396</c:v>
                </c:pt>
                <c:pt idx="205">
                  <c:v>-9.3618290191436788</c:v>
                </c:pt>
                <c:pt idx="206">
                  <c:v>-9.1475862399505523</c:v>
                </c:pt>
                <c:pt idx="207">
                  <c:v>-8.9235619881410138</c:v>
                </c:pt>
                <c:pt idx="208">
                  <c:v>-8.6928076203539533</c:v>
                </c:pt>
                <c:pt idx="209">
                  <c:v>-8.4577029983763055</c:v>
                </c:pt>
                <c:pt idx="210">
                  <c:v>-8.2201076346188646</c:v>
                </c:pt>
                <c:pt idx="211">
                  <c:v>-7.9814752648823575</c:v>
                </c:pt>
                <c:pt idx="212">
                  <c:v>-7.7429414694881151</c:v>
                </c:pt>
                <c:pt idx="213">
                  <c:v>-7.5053912070233055</c:v>
                </c:pt>
                <c:pt idx="214">
                  <c:v>-7.2695112262581727</c:v>
                </c:pt>
                <c:pt idx="215">
                  <c:v>-7.0358309928977105</c:v>
                </c:pt>
                <c:pt idx="216">
                  <c:v>-6.8047548240185654</c:v>
                </c:pt>
                <c:pt idx="217">
                  <c:v>-6.5765872438128525</c:v>
                </c:pt>
                <c:pt idx="218">
                  <c:v>-6.3515530796018442</c:v>
                </c:pt>
                <c:pt idx="219">
                  <c:v>-6.1298134529872348</c:v>
                </c:pt>
                <c:pt idx="220">
                  <c:v>-5.9114785504431921</c:v>
                </c:pt>
                <c:pt idx="221">
                  <c:v>-5.6966178548616622</c:v>
                </c:pt>
                <c:pt idx="222">
                  <c:v>-5.4852683663815114</c:v>
                </c:pt>
                <c:pt idx="223">
                  <c:v>-5.2774412243143995</c:v>
                </c:pt>
                <c:pt idx="224">
                  <c:v>-5.0731270527673589</c:v>
                </c:pt>
                <c:pt idx="225">
                  <c:v>-4.8723002838651741</c:v>
                </c:pt>
                <c:pt idx="226">
                  <c:v>-4.6749226592744533</c:v>
                </c:pt>
                <c:pt idx="227">
                  <c:v>-4.4809460693272873</c:v>
                </c:pt>
                <c:pt idx="228">
                  <c:v>-4.2903148566662255</c:v>
                </c:pt>
                <c:pt idx="229">
                  <c:v>-4.102967685899074</c:v>
                </c:pt>
                <c:pt idx="230">
                  <c:v>-3.9188390606940193</c:v>
                </c:pt>
                <c:pt idx="231">
                  <c:v>-3.7378605538564273</c:v>
                </c:pt>
                <c:pt idx="232">
                  <c:v>-3.5599618033058111</c:v>
                </c:pt>
                <c:pt idx="233">
                  <c:v>-3.3850713167930682</c:v>
                </c:pt>
                <c:pt idx="234">
                  <c:v>-3.2131171201405295</c:v>
                </c:pt>
                <c:pt idx="235">
                  <c:v>-3.0440272773072423</c:v>
                </c:pt>
                <c:pt idx="236">
                  <c:v>-2.8777303053700694</c:v>
                </c:pt>
                <c:pt idx="237">
                  <c:v>-2.7141555032968561</c:v>
                </c:pt>
                <c:pt idx="238">
                  <c:v>-2.5532332099745592</c:v>
                </c:pt>
                <c:pt idx="239">
                  <c:v>-2.3948950041821782</c:v>
                </c:pt>
                <c:pt idx="240">
                  <c:v>-2.239073856941979</c:v>
                </c:pt>
                <c:pt idx="241">
                  <c:v>-2.0857042448383787</c:v>
                </c:pt>
                <c:pt idx="242">
                  <c:v>-1.934722231387114</c:v>
                </c:pt>
                <c:pt idx="243">
                  <c:v>-1.786065522300031</c:v>
                </c:pt>
                <c:pt idx="244">
                  <c:v>-1.6396734994765272</c:v>
                </c:pt>
                <c:pt idx="245">
                  <c:v>-1.4954872377156747</c:v>
                </c:pt>
                <c:pt idx="246">
                  <c:v>-1.3534495074539323</c:v>
                </c:pt>
                <c:pt idx="247">
                  <c:v>-1.213504766264343</c:v>
                </c:pt>
                <c:pt idx="248">
                  <c:v>-1.0755991413813208</c:v>
                </c:pt>
                <c:pt idx="249">
                  <c:v>-0.93968040512619544</c:v>
                </c:pt>
                <c:pt idx="250">
                  <c:v>-0.80569794478274748</c:v>
                </c:pt>
                <c:pt idx="251">
                  <c:v>-0.67360272820559952</c:v>
                </c:pt>
                <c:pt idx="252">
                  <c:v>-0.54334726621951923</c:v>
                </c:pt>
                <c:pt idx="253">
                  <c:v>-0.41488557268131565</c:v>
                </c:pt>
                <c:pt idx="254">
                  <c:v>-0.28817312292230257</c:v>
                </c:pt>
                <c:pt idx="255">
                  <c:v>-0.16316681115977277</c:v>
                </c:pt>
                <c:pt idx="256">
                  <c:v>-3.9824907358355754E-2</c:v>
                </c:pt>
                <c:pt idx="257">
                  <c:v>8.1892986067829479E-2</c:v>
                </c:pt>
                <c:pt idx="258">
                  <c:v>0.20202597739464945</c:v>
                </c:pt>
                <c:pt idx="259">
                  <c:v>0.32061192831611157</c:v>
                </c:pt>
                <c:pt idx="260">
                  <c:v>0.43768749605713664</c:v>
                </c:pt>
                <c:pt idx="261">
                  <c:v>0.55328817471272185</c:v>
                </c:pt>
                <c:pt idx="262">
                  <c:v>0.66744833569029505</c:v>
                </c:pt>
                <c:pt idx="263">
                  <c:v>0.7802012671598918</c:v>
                </c:pt>
                <c:pt idx="264">
                  <c:v>0.89157921244548921</c:v>
                </c:pt>
                <c:pt idx="265">
                  <c:v>1.0016134073076712</c:v>
                </c:pt>
                <c:pt idx="266">
                  <c:v>1.1103341160858553</c:v>
                </c:pt>
                <c:pt idx="267">
                  <c:v>1.2177706666826373</c:v>
                </c:pt>
                <c:pt idx="268">
                  <c:v>1.3239514843841778</c:v>
                </c:pt>
                <c:pt idx="269">
                  <c:v>1.4289041245173741</c:v>
                </c:pt>
                <c:pt idx="270">
                  <c:v>1.532655303956999</c:v>
                </c:pt>
                <c:pt idx="271">
                  <c:v>1.6352309314953466</c:v>
                </c:pt>
                <c:pt idx="272">
                  <c:v>1.7366561370971969</c:v>
                </c:pt>
                <c:pt idx="273">
                  <c:v>1.8369553000637908</c:v>
                </c:pt>
                <c:pt idx="274">
                  <c:v>1.9361520761336433</c:v>
                </c:pt>
                <c:pt idx="275">
                  <c:v>2.034269423547602</c:v>
                </c:pt>
                <c:pt idx="276">
                  <c:v>2.1313296281107248</c:v>
                </c:pt>
                <c:pt idx="277">
                  <c:v>2.2273543272819771</c:v>
                </c:pt>
                <c:pt idx="278">
                  <c:v>2.3223645333236602</c:v>
                </c:pt>
                <c:pt idx="279">
                  <c:v>2.4163806555430383</c:v>
                </c:pt>
                <c:pt idx="280">
                  <c:v>2.5094225216594261</c:v>
                </c:pt>
                <c:pt idx="281">
                  <c:v>2.6015093983283153</c:v>
                </c:pt>
                <c:pt idx="282">
                  <c:v>2.6926600108540799</c:v>
                </c:pt>
                <c:pt idx="283">
                  <c:v>2.7828925621229721</c:v>
                </c:pt>
                <c:pt idx="284">
                  <c:v>2.872224750787244</c:v>
                </c:pt>
                <c:pt idx="285">
                  <c:v>2.960673788729022</c:v>
                </c:pt>
                <c:pt idx="286">
                  <c:v>3.0482564178339207</c:v>
                </c:pt>
                <c:pt idx="287">
                  <c:v>3.1349889261023547</c:v>
                </c:pt>
                <c:pt idx="288">
                  <c:v>3.2208871631251257</c:v>
                </c:pt>
                <c:pt idx="289">
                  <c:v>3.3059665549501234</c:v>
                </c:pt>
                <c:pt idx="290">
                  <c:v>4.1148418769452428</c:v>
                </c:pt>
                <c:pt idx="291">
                  <c:v>4.8561418028222487</c:v>
                </c:pt>
                <c:pt idx="292">
                  <c:v>5.5400998211731025</c:v>
                </c:pt>
                <c:pt idx="293">
                  <c:v>6.1748261151406254</c:v>
                </c:pt>
                <c:pt idx="294">
                  <c:v>6.7668472491081646</c:v>
                </c:pt>
                <c:pt idx="295">
                  <c:v>7.3214876445506167</c:v>
                </c:pt>
                <c:pt idx="296">
                  <c:v>7.8431443420083795</c:v>
                </c:pt>
                <c:pt idx="297">
                  <c:v>8.3354884296062703</c:v>
                </c:pt>
                <c:pt idx="298">
                  <c:v>8.8016151448974931</c:v>
                </c:pt>
                <c:pt idx="299">
                  <c:v>9.2441574216525293</c:v>
                </c:pt>
                <c:pt idx="300">
                  <c:v>9.6653729745673207</c:v>
                </c:pt>
                <c:pt idx="301">
                  <c:v>10.067211936499183</c:v>
                </c:pt>
                <c:pt idx="302">
                  <c:v>10.451370002267751</c:v>
                </c:pt>
                <c:pt idx="303">
                  <c:v>10.819330630715653</c:v>
                </c:pt>
                <c:pt idx="304">
                  <c:v>11.172398887219817</c:v>
                </c:pt>
                <c:pt idx="305">
                  <c:v>11.511728828578704</c:v>
                </c:pt>
                <c:pt idx="306">
                  <c:v>11.838345848212196</c:v>
                </c:pt>
                <c:pt idx="307">
                  <c:v>12.153165050759808</c:v>
                </c:pt>
                <c:pt idx="308">
                  <c:v>12.457006470643071</c:v>
                </c:pt>
                <c:pt idx="309">
                  <c:v>12.750607761340479</c:v>
                </c:pt>
                <c:pt idx="310">
                  <c:v>13.034634842043173</c:v>
                </c:pt>
                <c:pt idx="311">
                  <c:v>13.309690882833515</c:v>
                </c:pt>
                <c:pt idx="312">
                  <c:v>13.576323929293487</c:v>
                </c:pt>
                <c:pt idx="313">
                  <c:v>13.835033405894464</c:v>
                </c:pt>
                <c:pt idx="314">
                  <c:v>14.086275689917391</c:v>
                </c:pt>
                <c:pt idx="315">
                  <c:v>14.33046891053797</c:v>
                </c:pt>
                <c:pt idx="316">
                  <c:v>14.567997098571583</c:v>
                </c:pt>
                <c:pt idx="317">
                  <c:v>14.799213789331073</c:v>
                </c:pt>
                <c:pt idx="318">
                  <c:v>15.02444516270768</c:v>
                </c:pt>
                <c:pt idx="319">
                  <c:v>15.243992789899226</c:v>
                </c:pt>
                <c:pt idx="320">
                  <c:v>15.458136044373367</c:v>
                </c:pt>
                <c:pt idx="321">
                  <c:v>15.667134225070678</c:v>
                </c:pt>
                <c:pt idx="322">
                  <c:v>15.871228432040194</c:v>
                </c:pt>
                <c:pt idx="323">
                  <c:v>16.070643228310434</c:v>
                </c:pt>
                <c:pt idx="324">
                  <c:v>16.265588116541295</c:v>
                </c:pt>
                <c:pt idx="325">
                  <c:v>16.456258854657534</c:v>
                </c:pt>
                <c:pt idx="326">
                  <c:v>16.642838631057771</c:v>
                </c:pt>
                <c:pt idx="327">
                  <c:v>16.825499116989306</c:v>
                </c:pt>
                <c:pt idx="328">
                  <c:v>17.004401411161986</c:v>
                </c:pt>
                <c:pt idx="329">
                  <c:v>17.179696889563559</c:v>
                </c:pt>
                <c:pt idx="330">
                  <c:v>17.351527971657195</c:v>
                </c:pt>
                <c:pt idx="331">
                  <c:v>17.520028812632638</c:v>
                </c:pt>
                <c:pt idx="332">
                  <c:v>17.685325930107108</c:v>
                </c:pt>
                <c:pt idx="333">
                  <c:v>17.847538772577025</c:v>
                </c:pt>
                <c:pt idx="334">
                  <c:v>18.006780235995333</c:v>
                </c:pt>
                <c:pt idx="335">
                  <c:v>18.16315713404671</c:v>
                </c:pt>
                <c:pt idx="336">
                  <c:v>18.316770627010595</c:v>
                </c:pt>
                <c:pt idx="337">
                  <c:v>18.467716613508134</c:v>
                </c:pt>
                <c:pt idx="338">
                  <c:v>18.616086088919854</c:v>
                </c:pt>
                <c:pt idx="339">
                  <c:v>18.761965473816872</c:v>
                </c:pt>
                <c:pt idx="340">
                  <c:v>18.905436915365065</c:v>
                </c:pt>
                <c:pt idx="341">
                  <c:v>19.046578564325852</c:v>
                </c:pt>
                <c:pt idx="342">
                  <c:v>19.1854648299853</c:v>
                </c:pt>
                <c:pt idx="343">
                  <c:v>19.322166615087678</c:v>
                </c:pt>
                <c:pt idx="344">
                  <c:v>19.456751532624764</c:v>
                </c:pt>
                <c:pt idx="345">
                  <c:v>19.589284106137303</c:v>
                </c:pt>
                <c:pt idx="346">
                  <c:v>19.719825955007824</c:v>
                </c:pt>
                <c:pt idx="347">
                  <c:v>19.848435966075847</c:v>
                </c:pt>
                <c:pt idx="348">
                  <c:v>19.975170452767102</c:v>
                </c:pt>
                <c:pt idx="349">
                  <c:v>20.100083302812099</c:v>
                </c:pt>
                <c:pt idx="350">
                  <c:v>20.223226115519964</c:v>
                </c:pt>
                <c:pt idx="351">
                  <c:v>20.344648329482169</c:v>
                </c:pt>
                <c:pt idx="352">
                  <c:v>20.464397341495619</c:v>
                </c:pt>
                <c:pt idx="353">
                  <c:v>20.58251861741747</c:v>
                </c:pt>
                <c:pt idx="354">
                  <c:v>20.699055795602096</c:v>
                </c:pt>
                <c:pt idx="355">
                  <c:v>20.814050783505621</c:v>
                </c:pt>
                <c:pt idx="356">
                  <c:v>20.927543847993796</c:v>
                </c:pt>
                <c:pt idx="357">
                  <c:v>21.039573699837412</c:v>
                </c:pt>
                <c:pt idx="358">
                  <c:v>21.150177572840576</c:v>
                </c:pt>
                <c:pt idx="359">
                  <c:v>21.259391298003393</c:v>
                </c:pt>
                <c:pt idx="360">
                  <c:v>21.367249373090168</c:v>
                </c:pt>
                <c:pt idx="361">
                  <c:v>21.473785027938611</c:v>
                </c:pt>
                <c:pt idx="362">
                  <c:v>21.579030285820494</c:v>
                </c:pt>
                <c:pt idx="363">
                  <c:v>21.683016021135948</c:v>
                </c:pt>
                <c:pt idx="364">
                  <c:v>21.785772013700914</c:v>
                </c:pt>
                <c:pt idx="365">
                  <c:v>21.887326999867049</c:v>
                </c:pt>
                <c:pt idx="366">
                  <c:v>21.98770872069246</c:v>
                </c:pt>
                <c:pt idx="367">
                  <c:v>22.08694396736556</c:v>
                </c:pt>
                <c:pt idx="368">
                  <c:v>22.185058624067139</c:v>
                </c:pt>
                <c:pt idx="369">
                  <c:v>22.282077708443474</c:v>
                </c:pt>
                <c:pt idx="370">
                  <c:v>22.378025409846259</c:v>
                </c:pt>
                <c:pt idx="371">
                  <c:v>22.472925125487887</c:v>
                </c:pt>
                <c:pt idx="372">
                  <c:v>22.566799494645167</c:v>
                </c:pt>
                <c:pt idx="373">
                  <c:v>22.659670431037348</c:v>
                </c:pt>
                <c:pt idx="374">
                  <c:v>22.751559153494266</c:v>
                </c:pt>
                <c:pt idx="375">
                  <c:v>22.842486215021083</c:v>
                </c:pt>
                <c:pt idx="376">
                  <c:v>22.932471530359582</c:v>
                </c:pt>
                <c:pt idx="377">
                  <c:v>23.021534402138869</c:v>
                </c:pt>
                <c:pt idx="378">
                  <c:v>23.109693545700047</c:v>
                </c:pt>
                <c:pt idx="379">
                  <c:v>23.196967112675722</c:v>
                </c:pt>
              </c:numCache>
            </c:numRef>
          </c:yVal>
          <c:smooth val="1"/>
          <c:extLst>
            <c:ext xmlns:c16="http://schemas.microsoft.com/office/drawing/2014/chart" uri="{C3380CC4-5D6E-409C-BE32-E72D297353CC}">
              <c16:uniqueId val="{00000000-32AD-48CD-BB29-60DAC4D05902}"/>
            </c:ext>
          </c:extLst>
        </c:ser>
        <c:dLbls>
          <c:showLegendKey val="0"/>
          <c:showVal val="0"/>
          <c:showCatName val="0"/>
          <c:showSerName val="0"/>
          <c:showPercent val="0"/>
          <c:showBubbleSize val="0"/>
        </c:dLbls>
        <c:axId val="1434155088"/>
        <c:axId val="1570699712"/>
      </c:scatterChart>
      <c:valAx>
        <c:axId val="1434155088"/>
        <c:scaling>
          <c:logBase val="10"/>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Phase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'Loop Gain'!$I$1</c:f>
              <c:strCache>
                <c:ptCount val="1"/>
                <c:pt idx="0">
                  <c:v>Phase CCM</c:v>
                </c:pt>
              </c:strCache>
            </c:strRef>
          </c:tx>
          <c:spPr>
            <a:ln w="19050" cap="rnd">
              <a:solidFill>
                <a:schemeClr val="accent1"/>
              </a:solidFill>
              <a:round/>
            </a:ln>
            <a:effectLst/>
          </c:spPr>
          <c:marker>
            <c:symbol val="none"/>
          </c:marker>
          <c:xVal>
            <c:numRef>
              <c:f>'Loop Gain'!$A$2:$A$381</c:f>
              <c:numCache>
                <c:formatCode>General</c:formatCode>
                <c:ptCount val="380"/>
                <c:pt idx="0">
                  <c:v>1</c:v>
                </c:pt>
                <c:pt idx="1">
                  <c:v>10</c:v>
                </c:pt>
                <c:pt idx="2">
                  <c:v>20</c:v>
                </c:pt>
                <c:pt idx="3">
                  <c:v>30</c:v>
                </c:pt>
                <c:pt idx="4">
                  <c:v>40</c:v>
                </c:pt>
                <c:pt idx="5">
                  <c:v>50</c:v>
                </c:pt>
                <c:pt idx="6">
                  <c:v>60</c:v>
                </c:pt>
                <c:pt idx="7">
                  <c:v>70</c:v>
                </c:pt>
                <c:pt idx="8">
                  <c:v>80</c:v>
                </c:pt>
                <c:pt idx="9">
                  <c:v>90</c:v>
                </c:pt>
                <c:pt idx="10">
                  <c:v>100</c:v>
                </c:pt>
                <c:pt idx="11">
                  <c:v>200</c:v>
                </c:pt>
                <c:pt idx="12">
                  <c:v>300</c:v>
                </c:pt>
                <c:pt idx="13">
                  <c:v>400</c:v>
                </c:pt>
                <c:pt idx="14">
                  <c:v>500</c:v>
                </c:pt>
                <c:pt idx="15">
                  <c:v>600</c:v>
                </c:pt>
                <c:pt idx="16">
                  <c:v>700</c:v>
                </c:pt>
                <c:pt idx="17">
                  <c:v>800</c:v>
                </c:pt>
                <c:pt idx="18">
                  <c:v>900</c:v>
                </c:pt>
                <c:pt idx="19">
                  <c:v>1000</c:v>
                </c:pt>
                <c:pt idx="20">
                  <c:v>1100</c:v>
                </c:pt>
                <c:pt idx="21">
                  <c:v>1200</c:v>
                </c:pt>
                <c:pt idx="22">
                  <c:v>1300</c:v>
                </c:pt>
                <c:pt idx="23">
                  <c:v>1400</c:v>
                </c:pt>
                <c:pt idx="24">
                  <c:v>1500</c:v>
                </c:pt>
                <c:pt idx="25">
                  <c:v>1600</c:v>
                </c:pt>
                <c:pt idx="26">
                  <c:v>1700</c:v>
                </c:pt>
                <c:pt idx="27">
                  <c:v>1800</c:v>
                </c:pt>
                <c:pt idx="28">
                  <c:v>1900</c:v>
                </c:pt>
                <c:pt idx="29">
                  <c:v>2000</c:v>
                </c:pt>
                <c:pt idx="30">
                  <c:v>2100</c:v>
                </c:pt>
                <c:pt idx="31">
                  <c:v>2200</c:v>
                </c:pt>
                <c:pt idx="32">
                  <c:v>2300</c:v>
                </c:pt>
                <c:pt idx="33">
                  <c:v>2400</c:v>
                </c:pt>
                <c:pt idx="34">
                  <c:v>2500</c:v>
                </c:pt>
                <c:pt idx="35">
                  <c:v>2600</c:v>
                </c:pt>
                <c:pt idx="36">
                  <c:v>2700</c:v>
                </c:pt>
                <c:pt idx="37">
                  <c:v>2800</c:v>
                </c:pt>
                <c:pt idx="38">
                  <c:v>2900</c:v>
                </c:pt>
                <c:pt idx="39">
                  <c:v>3000</c:v>
                </c:pt>
                <c:pt idx="40">
                  <c:v>3100</c:v>
                </c:pt>
                <c:pt idx="41">
                  <c:v>3200</c:v>
                </c:pt>
                <c:pt idx="42">
                  <c:v>3300</c:v>
                </c:pt>
                <c:pt idx="43">
                  <c:v>3400</c:v>
                </c:pt>
                <c:pt idx="44">
                  <c:v>3500</c:v>
                </c:pt>
                <c:pt idx="45">
                  <c:v>3600</c:v>
                </c:pt>
                <c:pt idx="46">
                  <c:v>3700</c:v>
                </c:pt>
                <c:pt idx="47">
                  <c:v>3800</c:v>
                </c:pt>
                <c:pt idx="48">
                  <c:v>3900</c:v>
                </c:pt>
                <c:pt idx="49">
                  <c:v>4000</c:v>
                </c:pt>
                <c:pt idx="50">
                  <c:v>4100</c:v>
                </c:pt>
                <c:pt idx="51">
                  <c:v>4200</c:v>
                </c:pt>
                <c:pt idx="52">
                  <c:v>4300</c:v>
                </c:pt>
                <c:pt idx="53">
                  <c:v>4400</c:v>
                </c:pt>
                <c:pt idx="54">
                  <c:v>4500</c:v>
                </c:pt>
                <c:pt idx="55">
                  <c:v>4600</c:v>
                </c:pt>
                <c:pt idx="56">
                  <c:v>4700</c:v>
                </c:pt>
                <c:pt idx="57">
                  <c:v>4800</c:v>
                </c:pt>
                <c:pt idx="58">
                  <c:v>4900</c:v>
                </c:pt>
                <c:pt idx="59">
                  <c:v>5000</c:v>
                </c:pt>
                <c:pt idx="60">
                  <c:v>5100</c:v>
                </c:pt>
                <c:pt idx="61">
                  <c:v>5200</c:v>
                </c:pt>
                <c:pt idx="62">
                  <c:v>5300</c:v>
                </c:pt>
                <c:pt idx="63">
                  <c:v>5400</c:v>
                </c:pt>
                <c:pt idx="64">
                  <c:v>5500</c:v>
                </c:pt>
                <c:pt idx="65">
                  <c:v>5600</c:v>
                </c:pt>
                <c:pt idx="66">
                  <c:v>5700</c:v>
                </c:pt>
                <c:pt idx="67">
                  <c:v>5800</c:v>
                </c:pt>
                <c:pt idx="68">
                  <c:v>5900</c:v>
                </c:pt>
                <c:pt idx="69">
                  <c:v>6000</c:v>
                </c:pt>
                <c:pt idx="70">
                  <c:v>6100</c:v>
                </c:pt>
                <c:pt idx="71">
                  <c:v>6200</c:v>
                </c:pt>
                <c:pt idx="72">
                  <c:v>6300</c:v>
                </c:pt>
                <c:pt idx="73">
                  <c:v>6400</c:v>
                </c:pt>
                <c:pt idx="74">
                  <c:v>6500</c:v>
                </c:pt>
                <c:pt idx="75">
                  <c:v>6600</c:v>
                </c:pt>
                <c:pt idx="76">
                  <c:v>6700</c:v>
                </c:pt>
                <c:pt idx="77">
                  <c:v>6800</c:v>
                </c:pt>
                <c:pt idx="78">
                  <c:v>6900</c:v>
                </c:pt>
                <c:pt idx="79">
                  <c:v>7000</c:v>
                </c:pt>
                <c:pt idx="80">
                  <c:v>7100</c:v>
                </c:pt>
                <c:pt idx="81">
                  <c:v>7200</c:v>
                </c:pt>
                <c:pt idx="82">
                  <c:v>7300</c:v>
                </c:pt>
                <c:pt idx="83">
                  <c:v>7400</c:v>
                </c:pt>
                <c:pt idx="84">
                  <c:v>7500</c:v>
                </c:pt>
                <c:pt idx="85">
                  <c:v>7600</c:v>
                </c:pt>
                <c:pt idx="86">
                  <c:v>7700</c:v>
                </c:pt>
                <c:pt idx="87">
                  <c:v>7800</c:v>
                </c:pt>
                <c:pt idx="88">
                  <c:v>7900</c:v>
                </c:pt>
                <c:pt idx="89">
                  <c:v>8000</c:v>
                </c:pt>
                <c:pt idx="90">
                  <c:v>8100</c:v>
                </c:pt>
                <c:pt idx="91">
                  <c:v>8200</c:v>
                </c:pt>
                <c:pt idx="92">
                  <c:v>8300</c:v>
                </c:pt>
                <c:pt idx="93">
                  <c:v>8400</c:v>
                </c:pt>
                <c:pt idx="94">
                  <c:v>8500</c:v>
                </c:pt>
                <c:pt idx="95">
                  <c:v>8600</c:v>
                </c:pt>
                <c:pt idx="96">
                  <c:v>8700</c:v>
                </c:pt>
                <c:pt idx="97">
                  <c:v>8800</c:v>
                </c:pt>
                <c:pt idx="98">
                  <c:v>8900</c:v>
                </c:pt>
                <c:pt idx="99">
                  <c:v>9000</c:v>
                </c:pt>
                <c:pt idx="100">
                  <c:v>9100</c:v>
                </c:pt>
                <c:pt idx="101">
                  <c:v>9200</c:v>
                </c:pt>
                <c:pt idx="102">
                  <c:v>9300</c:v>
                </c:pt>
                <c:pt idx="103">
                  <c:v>9400</c:v>
                </c:pt>
                <c:pt idx="104">
                  <c:v>9500</c:v>
                </c:pt>
                <c:pt idx="105">
                  <c:v>9600</c:v>
                </c:pt>
                <c:pt idx="106">
                  <c:v>9700</c:v>
                </c:pt>
                <c:pt idx="107">
                  <c:v>9800</c:v>
                </c:pt>
                <c:pt idx="108">
                  <c:v>9900</c:v>
                </c:pt>
                <c:pt idx="109">
                  <c:v>10000</c:v>
                </c:pt>
                <c:pt idx="110">
                  <c:v>11000</c:v>
                </c:pt>
                <c:pt idx="111">
                  <c:v>12000</c:v>
                </c:pt>
                <c:pt idx="112">
                  <c:v>13000</c:v>
                </c:pt>
                <c:pt idx="113">
                  <c:v>14000</c:v>
                </c:pt>
                <c:pt idx="114">
                  <c:v>15000</c:v>
                </c:pt>
                <c:pt idx="115">
                  <c:v>16000</c:v>
                </c:pt>
                <c:pt idx="116">
                  <c:v>17000</c:v>
                </c:pt>
                <c:pt idx="117">
                  <c:v>18000</c:v>
                </c:pt>
                <c:pt idx="118">
                  <c:v>19000</c:v>
                </c:pt>
                <c:pt idx="119">
                  <c:v>20000</c:v>
                </c:pt>
                <c:pt idx="120">
                  <c:v>21000</c:v>
                </c:pt>
                <c:pt idx="121">
                  <c:v>22000</c:v>
                </c:pt>
                <c:pt idx="122">
                  <c:v>23000</c:v>
                </c:pt>
                <c:pt idx="123">
                  <c:v>24000</c:v>
                </c:pt>
                <c:pt idx="124">
                  <c:v>25000</c:v>
                </c:pt>
                <c:pt idx="125">
                  <c:v>26000</c:v>
                </c:pt>
                <c:pt idx="126">
                  <c:v>27000</c:v>
                </c:pt>
                <c:pt idx="127">
                  <c:v>28000</c:v>
                </c:pt>
                <c:pt idx="128">
                  <c:v>29000</c:v>
                </c:pt>
                <c:pt idx="129">
                  <c:v>30000</c:v>
                </c:pt>
                <c:pt idx="130">
                  <c:v>31000</c:v>
                </c:pt>
                <c:pt idx="131">
                  <c:v>32000</c:v>
                </c:pt>
                <c:pt idx="132">
                  <c:v>33000</c:v>
                </c:pt>
                <c:pt idx="133">
                  <c:v>34000</c:v>
                </c:pt>
                <c:pt idx="134">
                  <c:v>35000</c:v>
                </c:pt>
                <c:pt idx="135">
                  <c:v>36000</c:v>
                </c:pt>
                <c:pt idx="136">
                  <c:v>37000</c:v>
                </c:pt>
                <c:pt idx="137">
                  <c:v>38000</c:v>
                </c:pt>
                <c:pt idx="138">
                  <c:v>39000</c:v>
                </c:pt>
                <c:pt idx="139">
                  <c:v>40000</c:v>
                </c:pt>
                <c:pt idx="140">
                  <c:v>41000</c:v>
                </c:pt>
                <c:pt idx="141">
                  <c:v>42000</c:v>
                </c:pt>
                <c:pt idx="142">
                  <c:v>43000</c:v>
                </c:pt>
                <c:pt idx="143">
                  <c:v>44000</c:v>
                </c:pt>
                <c:pt idx="144">
                  <c:v>45000</c:v>
                </c:pt>
                <c:pt idx="145">
                  <c:v>46000</c:v>
                </c:pt>
                <c:pt idx="146">
                  <c:v>47000</c:v>
                </c:pt>
                <c:pt idx="147">
                  <c:v>48000</c:v>
                </c:pt>
                <c:pt idx="148">
                  <c:v>49000</c:v>
                </c:pt>
                <c:pt idx="149">
                  <c:v>50000</c:v>
                </c:pt>
                <c:pt idx="150">
                  <c:v>51000</c:v>
                </c:pt>
                <c:pt idx="151">
                  <c:v>52000</c:v>
                </c:pt>
                <c:pt idx="152">
                  <c:v>53000</c:v>
                </c:pt>
                <c:pt idx="153">
                  <c:v>54000</c:v>
                </c:pt>
                <c:pt idx="154">
                  <c:v>55000</c:v>
                </c:pt>
                <c:pt idx="155">
                  <c:v>56000</c:v>
                </c:pt>
                <c:pt idx="156">
                  <c:v>57000</c:v>
                </c:pt>
                <c:pt idx="157">
                  <c:v>58000</c:v>
                </c:pt>
                <c:pt idx="158">
                  <c:v>59000</c:v>
                </c:pt>
                <c:pt idx="159">
                  <c:v>60000</c:v>
                </c:pt>
                <c:pt idx="160">
                  <c:v>61000</c:v>
                </c:pt>
                <c:pt idx="161">
                  <c:v>62000</c:v>
                </c:pt>
                <c:pt idx="162">
                  <c:v>63000</c:v>
                </c:pt>
                <c:pt idx="163">
                  <c:v>64000</c:v>
                </c:pt>
                <c:pt idx="164">
                  <c:v>65000</c:v>
                </c:pt>
                <c:pt idx="165">
                  <c:v>66000</c:v>
                </c:pt>
                <c:pt idx="166">
                  <c:v>67000</c:v>
                </c:pt>
                <c:pt idx="167">
                  <c:v>68000</c:v>
                </c:pt>
                <c:pt idx="168">
                  <c:v>69000</c:v>
                </c:pt>
                <c:pt idx="169">
                  <c:v>70000</c:v>
                </c:pt>
                <c:pt idx="170">
                  <c:v>71000</c:v>
                </c:pt>
                <c:pt idx="171">
                  <c:v>72000</c:v>
                </c:pt>
                <c:pt idx="172">
                  <c:v>73000</c:v>
                </c:pt>
                <c:pt idx="173">
                  <c:v>74000</c:v>
                </c:pt>
                <c:pt idx="174">
                  <c:v>75000</c:v>
                </c:pt>
                <c:pt idx="175">
                  <c:v>76000</c:v>
                </c:pt>
                <c:pt idx="176">
                  <c:v>77000</c:v>
                </c:pt>
                <c:pt idx="177">
                  <c:v>78000</c:v>
                </c:pt>
                <c:pt idx="178">
                  <c:v>79000</c:v>
                </c:pt>
                <c:pt idx="179">
                  <c:v>80000</c:v>
                </c:pt>
                <c:pt idx="180">
                  <c:v>81000</c:v>
                </c:pt>
                <c:pt idx="181">
                  <c:v>82000</c:v>
                </c:pt>
                <c:pt idx="182">
                  <c:v>83000</c:v>
                </c:pt>
                <c:pt idx="183">
                  <c:v>84000</c:v>
                </c:pt>
                <c:pt idx="184">
                  <c:v>85000</c:v>
                </c:pt>
                <c:pt idx="185">
                  <c:v>86000</c:v>
                </c:pt>
                <c:pt idx="186">
                  <c:v>87000</c:v>
                </c:pt>
                <c:pt idx="187">
                  <c:v>88000</c:v>
                </c:pt>
                <c:pt idx="188">
                  <c:v>89000</c:v>
                </c:pt>
                <c:pt idx="189">
                  <c:v>90000</c:v>
                </c:pt>
                <c:pt idx="190">
                  <c:v>91000</c:v>
                </c:pt>
                <c:pt idx="191">
                  <c:v>92000</c:v>
                </c:pt>
                <c:pt idx="192">
                  <c:v>93000</c:v>
                </c:pt>
                <c:pt idx="193">
                  <c:v>94000</c:v>
                </c:pt>
                <c:pt idx="194">
                  <c:v>95000</c:v>
                </c:pt>
                <c:pt idx="195">
                  <c:v>96000</c:v>
                </c:pt>
                <c:pt idx="196">
                  <c:v>97000</c:v>
                </c:pt>
                <c:pt idx="197">
                  <c:v>98000</c:v>
                </c:pt>
                <c:pt idx="198">
                  <c:v>99000</c:v>
                </c:pt>
                <c:pt idx="199">
                  <c:v>100000</c:v>
                </c:pt>
                <c:pt idx="200">
                  <c:v>110000</c:v>
                </c:pt>
                <c:pt idx="201">
                  <c:v>120000</c:v>
                </c:pt>
                <c:pt idx="202">
                  <c:v>130000</c:v>
                </c:pt>
                <c:pt idx="203">
                  <c:v>140000</c:v>
                </c:pt>
                <c:pt idx="204">
                  <c:v>150000</c:v>
                </c:pt>
                <c:pt idx="205">
                  <c:v>160000</c:v>
                </c:pt>
                <c:pt idx="206">
                  <c:v>170000</c:v>
                </c:pt>
                <c:pt idx="207">
                  <c:v>180000</c:v>
                </c:pt>
                <c:pt idx="208">
                  <c:v>190000</c:v>
                </c:pt>
                <c:pt idx="209">
                  <c:v>200000</c:v>
                </c:pt>
                <c:pt idx="210">
                  <c:v>210000</c:v>
                </c:pt>
                <c:pt idx="211">
                  <c:v>220000</c:v>
                </c:pt>
                <c:pt idx="212">
                  <c:v>230000</c:v>
                </c:pt>
                <c:pt idx="213">
                  <c:v>240000</c:v>
                </c:pt>
                <c:pt idx="214">
                  <c:v>250000</c:v>
                </c:pt>
                <c:pt idx="215">
                  <c:v>260000</c:v>
                </c:pt>
                <c:pt idx="216">
                  <c:v>270000</c:v>
                </c:pt>
                <c:pt idx="217">
                  <c:v>280000</c:v>
                </c:pt>
                <c:pt idx="218">
                  <c:v>290000</c:v>
                </c:pt>
                <c:pt idx="219">
                  <c:v>300000</c:v>
                </c:pt>
                <c:pt idx="220">
                  <c:v>310000</c:v>
                </c:pt>
                <c:pt idx="221">
                  <c:v>320000</c:v>
                </c:pt>
                <c:pt idx="222">
                  <c:v>330000</c:v>
                </c:pt>
                <c:pt idx="223">
                  <c:v>340000</c:v>
                </c:pt>
                <c:pt idx="224">
                  <c:v>350000</c:v>
                </c:pt>
                <c:pt idx="225">
                  <c:v>360000</c:v>
                </c:pt>
                <c:pt idx="226">
                  <c:v>370000</c:v>
                </c:pt>
                <c:pt idx="227">
                  <c:v>380000</c:v>
                </c:pt>
                <c:pt idx="228">
                  <c:v>390000</c:v>
                </c:pt>
                <c:pt idx="229">
                  <c:v>400000</c:v>
                </c:pt>
                <c:pt idx="230">
                  <c:v>410000</c:v>
                </c:pt>
                <c:pt idx="231">
                  <c:v>420000</c:v>
                </c:pt>
                <c:pt idx="232">
                  <c:v>430000</c:v>
                </c:pt>
                <c:pt idx="233">
                  <c:v>440000</c:v>
                </c:pt>
                <c:pt idx="234">
                  <c:v>450000</c:v>
                </c:pt>
                <c:pt idx="235">
                  <c:v>460000</c:v>
                </c:pt>
                <c:pt idx="236">
                  <c:v>470000</c:v>
                </c:pt>
                <c:pt idx="237">
                  <c:v>480000</c:v>
                </c:pt>
                <c:pt idx="238">
                  <c:v>490000</c:v>
                </c:pt>
                <c:pt idx="239">
                  <c:v>500000</c:v>
                </c:pt>
                <c:pt idx="240">
                  <c:v>510000</c:v>
                </c:pt>
                <c:pt idx="241">
                  <c:v>520000</c:v>
                </c:pt>
                <c:pt idx="242">
                  <c:v>530000</c:v>
                </c:pt>
                <c:pt idx="243">
                  <c:v>540000</c:v>
                </c:pt>
                <c:pt idx="244">
                  <c:v>550000</c:v>
                </c:pt>
                <c:pt idx="245">
                  <c:v>560000</c:v>
                </c:pt>
                <c:pt idx="246">
                  <c:v>570000</c:v>
                </c:pt>
                <c:pt idx="247">
                  <c:v>580000</c:v>
                </c:pt>
                <c:pt idx="248">
                  <c:v>590000</c:v>
                </c:pt>
                <c:pt idx="249">
                  <c:v>600000</c:v>
                </c:pt>
                <c:pt idx="250">
                  <c:v>610000</c:v>
                </c:pt>
                <c:pt idx="251">
                  <c:v>620000</c:v>
                </c:pt>
                <c:pt idx="252">
                  <c:v>630000</c:v>
                </c:pt>
                <c:pt idx="253">
                  <c:v>640000</c:v>
                </c:pt>
                <c:pt idx="254">
                  <c:v>650000</c:v>
                </c:pt>
                <c:pt idx="255">
                  <c:v>660000</c:v>
                </c:pt>
                <c:pt idx="256">
                  <c:v>670000</c:v>
                </c:pt>
                <c:pt idx="257">
                  <c:v>680000</c:v>
                </c:pt>
                <c:pt idx="258">
                  <c:v>690000</c:v>
                </c:pt>
                <c:pt idx="259">
                  <c:v>700000</c:v>
                </c:pt>
                <c:pt idx="260">
                  <c:v>710000</c:v>
                </c:pt>
                <c:pt idx="261">
                  <c:v>720000</c:v>
                </c:pt>
                <c:pt idx="262">
                  <c:v>730000</c:v>
                </c:pt>
                <c:pt idx="263">
                  <c:v>740000</c:v>
                </c:pt>
                <c:pt idx="264">
                  <c:v>750000</c:v>
                </c:pt>
                <c:pt idx="265">
                  <c:v>760000</c:v>
                </c:pt>
                <c:pt idx="266">
                  <c:v>770000</c:v>
                </c:pt>
                <c:pt idx="267">
                  <c:v>780000</c:v>
                </c:pt>
                <c:pt idx="268">
                  <c:v>790000</c:v>
                </c:pt>
                <c:pt idx="269">
                  <c:v>800000</c:v>
                </c:pt>
                <c:pt idx="270">
                  <c:v>810000</c:v>
                </c:pt>
                <c:pt idx="271">
                  <c:v>820000</c:v>
                </c:pt>
                <c:pt idx="272">
                  <c:v>830000</c:v>
                </c:pt>
                <c:pt idx="273">
                  <c:v>840000</c:v>
                </c:pt>
                <c:pt idx="274">
                  <c:v>850000</c:v>
                </c:pt>
                <c:pt idx="275">
                  <c:v>860000</c:v>
                </c:pt>
                <c:pt idx="276">
                  <c:v>870000</c:v>
                </c:pt>
                <c:pt idx="277">
                  <c:v>880000</c:v>
                </c:pt>
                <c:pt idx="278">
                  <c:v>890000</c:v>
                </c:pt>
                <c:pt idx="279">
                  <c:v>900000</c:v>
                </c:pt>
                <c:pt idx="280">
                  <c:v>910000</c:v>
                </c:pt>
                <c:pt idx="281">
                  <c:v>920000</c:v>
                </c:pt>
                <c:pt idx="282">
                  <c:v>930000</c:v>
                </c:pt>
                <c:pt idx="283">
                  <c:v>940000</c:v>
                </c:pt>
                <c:pt idx="284">
                  <c:v>950000</c:v>
                </c:pt>
                <c:pt idx="285">
                  <c:v>960000</c:v>
                </c:pt>
                <c:pt idx="286">
                  <c:v>970000</c:v>
                </c:pt>
                <c:pt idx="287">
                  <c:v>980000</c:v>
                </c:pt>
                <c:pt idx="288">
                  <c:v>990000</c:v>
                </c:pt>
                <c:pt idx="289">
                  <c:v>1000000</c:v>
                </c:pt>
                <c:pt idx="290">
                  <c:v>1100000</c:v>
                </c:pt>
                <c:pt idx="291">
                  <c:v>1200000</c:v>
                </c:pt>
                <c:pt idx="292">
                  <c:v>1300000</c:v>
                </c:pt>
                <c:pt idx="293">
                  <c:v>1400000</c:v>
                </c:pt>
                <c:pt idx="294">
                  <c:v>1500000</c:v>
                </c:pt>
                <c:pt idx="295">
                  <c:v>1600000</c:v>
                </c:pt>
                <c:pt idx="296">
                  <c:v>1700000</c:v>
                </c:pt>
                <c:pt idx="297">
                  <c:v>1800000</c:v>
                </c:pt>
                <c:pt idx="298">
                  <c:v>1900000</c:v>
                </c:pt>
                <c:pt idx="299">
                  <c:v>2000000</c:v>
                </c:pt>
                <c:pt idx="300">
                  <c:v>2100000</c:v>
                </c:pt>
                <c:pt idx="301">
                  <c:v>2200000</c:v>
                </c:pt>
                <c:pt idx="302">
                  <c:v>2300000</c:v>
                </c:pt>
                <c:pt idx="303">
                  <c:v>2400000</c:v>
                </c:pt>
                <c:pt idx="304">
                  <c:v>2500000</c:v>
                </c:pt>
                <c:pt idx="305">
                  <c:v>2600000</c:v>
                </c:pt>
                <c:pt idx="306">
                  <c:v>2700000</c:v>
                </c:pt>
                <c:pt idx="307">
                  <c:v>2800000</c:v>
                </c:pt>
                <c:pt idx="308">
                  <c:v>2900000</c:v>
                </c:pt>
                <c:pt idx="309">
                  <c:v>3000000</c:v>
                </c:pt>
                <c:pt idx="310">
                  <c:v>3100000</c:v>
                </c:pt>
                <c:pt idx="311">
                  <c:v>3200000</c:v>
                </c:pt>
                <c:pt idx="312">
                  <c:v>3300000</c:v>
                </c:pt>
                <c:pt idx="313">
                  <c:v>3400000</c:v>
                </c:pt>
                <c:pt idx="314">
                  <c:v>3500000</c:v>
                </c:pt>
                <c:pt idx="315">
                  <c:v>3600000</c:v>
                </c:pt>
                <c:pt idx="316">
                  <c:v>3700000</c:v>
                </c:pt>
                <c:pt idx="317">
                  <c:v>3800000</c:v>
                </c:pt>
                <c:pt idx="318">
                  <c:v>3900000</c:v>
                </c:pt>
                <c:pt idx="319">
                  <c:v>4000000</c:v>
                </c:pt>
                <c:pt idx="320">
                  <c:v>4100000</c:v>
                </c:pt>
                <c:pt idx="321">
                  <c:v>4200000</c:v>
                </c:pt>
                <c:pt idx="322">
                  <c:v>4300000</c:v>
                </c:pt>
                <c:pt idx="323">
                  <c:v>4400000</c:v>
                </c:pt>
                <c:pt idx="324">
                  <c:v>4500000</c:v>
                </c:pt>
                <c:pt idx="325">
                  <c:v>4600000</c:v>
                </c:pt>
                <c:pt idx="326">
                  <c:v>4700000</c:v>
                </c:pt>
                <c:pt idx="327">
                  <c:v>4800000</c:v>
                </c:pt>
                <c:pt idx="328">
                  <c:v>4900000</c:v>
                </c:pt>
                <c:pt idx="329">
                  <c:v>5000000</c:v>
                </c:pt>
                <c:pt idx="330">
                  <c:v>5100000</c:v>
                </c:pt>
                <c:pt idx="331">
                  <c:v>5200000</c:v>
                </c:pt>
                <c:pt idx="332">
                  <c:v>5300000</c:v>
                </c:pt>
                <c:pt idx="333">
                  <c:v>5400000</c:v>
                </c:pt>
                <c:pt idx="334">
                  <c:v>5500000</c:v>
                </c:pt>
                <c:pt idx="335">
                  <c:v>5600000</c:v>
                </c:pt>
                <c:pt idx="336">
                  <c:v>5700000</c:v>
                </c:pt>
                <c:pt idx="337">
                  <c:v>5800000</c:v>
                </c:pt>
                <c:pt idx="338">
                  <c:v>5900000</c:v>
                </c:pt>
                <c:pt idx="339">
                  <c:v>6000000</c:v>
                </c:pt>
                <c:pt idx="340">
                  <c:v>6100000</c:v>
                </c:pt>
                <c:pt idx="341">
                  <c:v>6200000</c:v>
                </c:pt>
                <c:pt idx="342">
                  <c:v>6300000</c:v>
                </c:pt>
                <c:pt idx="343">
                  <c:v>6400000</c:v>
                </c:pt>
                <c:pt idx="344">
                  <c:v>6500000</c:v>
                </c:pt>
                <c:pt idx="345">
                  <c:v>6600000</c:v>
                </c:pt>
                <c:pt idx="346">
                  <c:v>6700000</c:v>
                </c:pt>
                <c:pt idx="347">
                  <c:v>6800000</c:v>
                </c:pt>
                <c:pt idx="348">
                  <c:v>6900000</c:v>
                </c:pt>
                <c:pt idx="349">
                  <c:v>7000000</c:v>
                </c:pt>
                <c:pt idx="350">
                  <c:v>7100000</c:v>
                </c:pt>
                <c:pt idx="351">
                  <c:v>7200000</c:v>
                </c:pt>
                <c:pt idx="352">
                  <c:v>7300000</c:v>
                </c:pt>
                <c:pt idx="353">
                  <c:v>7400000</c:v>
                </c:pt>
                <c:pt idx="354">
                  <c:v>7500000</c:v>
                </c:pt>
                <c:pt idx="355">
                  <c:v>7600000</c:v>
                </c:pt>
                <c:pt idx="356">
                  <c:v>7700000</c:v>
                </c:pt>
                <c:pt idx="357">
                  <c:v>7800000</c:v>
                </c:pt>
                <c:pt idx="358">
                  <c:v>7900000</c:v>
                </c:pt>
                <c:pt idx="359">
                  <c:v>8000000</c:v>
                </c:pt>
                <c:pt idx="360">
                  <c:v>8100000</c:v>
                </c:pt>
                <c:pt idx="361">
                  <c:v>8200000</c:v>
                </c:pt>
                <c:pt idx="362">
                  <c:v>8300000</c:v>
                </c:pt>
                <c:pt idx="363">
                  <c:v>8400000</c:v>
                </c:pt>
                <c:pt idx="364">
                  <c:v>8500000</c:v>
                </c:pt>
                <c:pt idx="365">
                  <c:v>8600000</c:v>
                </c:pt>
                <c:pt idx="366">
                  <c:v>8700000</c:v>
                </c:pt>
                <c:pt idx="367">
                  <c:v>8800000</c:v>
                </c:pt>
                <c:pt idx="368">
                  <c:v>8900000</c:v>
                </c:pt>
                <c:pt idx="369">
                  <c:v>9000000</c:v>
                </c:pt>
                <c:pt idx="370">
                  <c:v>9100000</c:v>
                </c:pt>
                <c:pt idx="371">
                  <c:v>9200000</c:v>
                </c:pt>
                <c:pt idx="372">
                  <c:v>9300000</c:v>
                </c:pt>
                <c:pt idx="373">
                  <c:v>9400000</c:v>
                </c:pt>
                <c:pt idx="374">
                  <c:v>9500000</c:v>
                </c:pt>
                <c:pt idx="375">
                  <c:v>9600000</c:v>
                </c:pt>
                <c:pt idx="376">
                  <c:v>9700000</c:v>
                </c:pt>
                <c:pt idx="377">
                  <c:v>9800000</c:v>
                </c:pt>
                <c:pt idx="378">
                  <c:v>9900000</c:v>
                </c:pt>
                <c:pt idx="379">
                  <c:v>10000000</c:v>
                </c:pt>
              </c:numCache>
            </c:numRef>
          </c:xVal>
          <c:yVal>
            <c:numRef>
              <c:f>'Loop Gain'!$I$2:$I$381</c:f>
              <c:numCache>
                <c:formatCode>General</c:formatCode>
                <c:ptCount val="380"/>
                <c:pt idx="0">
                  <c:v>-0.26070801629397372</c:v>
                </c:pt>
                <c:pt idx="1">
                  <c:v>-2.6052769239134763</c:v>
                </c:pt>
                <c:pt idx="2">
                  <c:v>-5.1996794494054095</c:v>
                </c:pt>
                <c:pt idx="3">
                  <c:v>-7.7726018755188226</c:v>
                </c:pt>
                <c:pt idx="4">
                  <c:v>-10.31395951142035</c:v>
                </c:pt>
                <c:pt idx="5">
                  <c:v>-12.814410053455966</c:v>
                </c:pt>
                <c:pt idx="6">
                  <c:v>-15.265532820562402</c:v>
                </c:pt>
                <c:pt idx="7">
                  <c:v>-17.659958932576718</c:v>
                </c:pt>
                <c:pt idx="8">
                  <c:v>-19.991450081376883</c:v>
                </c:pt>
                <c:pt idx="9">
                  <c:v>-22.254927754056464</c:v>
                </c:pt>
                <c:pt idx="10">
                  <c:v>-24.446458145129437</c:v>
                </c:pt>
                <c:pt idx="11">
                  <c:v>-42.196957973089162</c:v>
                </c:pt>
                <c:pt idx="12">
                  <c:v>-53.545069392419208</c:v>
                </c:pt>
                <c:pt idx="13">
                  <c:v>-60.853109535566311</c:v>
                </c:pt>
                <c:pt idx="14">
                  <c:v>-65.779771247565392</c:v>
                </c:pt>
                <c:pt idx="15">
                  <c:v>-69.260961154829388</c:v>
                </c:pt>
                <c:pt idx="16">
                  <c:v>-71.820706783483956</c:v>
                </c:pt>
                <c:pt idx="17">
                  <c:v>-73.764446586106715</c:v>
                </c:pt>
                <c:pt idx="18">
                  <c:v>-75.278941217760462</c:v>
                </c:pt>
                <c:pt idx="19">
                  <c:v>-76.483636297215838</c:v>
                </c:pt>
                <c:pt idx="20">
                  <c:v>-77.458013934595272</c:v>
                </c:pt>
                <c:pt idx="21">
                  <c:v>-78.256809653601422</c:v>
                </c:pt>
                <c:pt idx="22">
                  <c:v>-78.918849948940618</c:v>
                </c:pt>
                <c:pt idx="23">
                  <c:v>-79.472391273879694</c:v>
                </c:pt>
                <c:pt idx="24">
                  <c:v>-79.93846142818407</c:v>
                </c:pt>
                <c:pt idx="25">
                  <c:v>-80.33301747688661</c:v>
                </c:pt>
                <c:pt idx="26">
                  <c:v>-80.668378791797906</c:v>
                </c:pt>
                <c:pt idx="27">
                  <c:v>-80.954202638015119</c:v>
                </c:pt>
                <c:pt idx="28">
                  <c:v>-81.198163226867891</c:v>
                </c:pt>
                <c:pt idx="29">
                  <c:v>-81.406433861081112</c:v>
                </c:pt>
                <c:pt idx="30">
                  <c:v>-81.584035456003903</c:v>
                </c:pt>
                <c:pt idx="31">
                  <c:v>-81.735092583066589</c:v>
                </c:pt>
                <c:pt idx="32">
                  <c:v>-81.863024360116654</c:v>
                </c:pt>
                <c:pt idx="33">
                  <c:v>-81.970688687798273</c:v>
                </c:pt>
                <c:pt idx="34">
                  <c:v>-82.060492578759821</c:v>
                </c:pt>
                <c:pt idx="35">
                  <c:v>-82.134477505824549</c:v>
                </c:pt>
                <c:pt idx="36">
                  <c:v>-82.194386113304134</c:v>
                </c:pt>
                <c:pt idx="37">
                  <c:v>-82.241714862707326</c:v>
                </c:pt>
                <c:pt idx="38">
                  <c:v>-82.277755948602987</c:v>
                </c:pt>
                <c:pt idx="39">
                  <c:v>-82.303630947577048</c:v>
                </c:pt>
                <c:pt idx="40">
                  <c:v>-82.320318038737682</c:v>
                </c:pt>
                <c:pt idx="41">
                  <c:v>-82.328674182105999</c:v>
                </c:pt>
                <c:pt idx="42">
                  <c:v>-82.329453310271646</c:v>
                </c:pt>
                <c:pt idx="43">
                  <c:v>-82.323321343919034</c:v>
                </c:pt>
                <c:pt idx="44">
                  <c:v>-82.310868659032508</c:v>
                </c:pt>
                <c:pt idx="45">
                  <c:v>-82.292620495840438</c:v>
                </c:pt>
                <c:pt idx="46">
                  <c:v>-82.269045694858917</c:v>
                </c:pt>
                <c:pt idx="47">
                  <c:v>-82.240564065180294</c:v>
                </c:pt>
                <c:pt idx="48">
                  <c:v>-82.207552628222871</c:v>
                </c:pt>
                <c:pt idx="49">
                  <c:v>-82.170350932005277</c:v>
                </c:pt>
                <c:pt idx="50">
                  <c:v>-82.129265593311402</c:v>
                </c:pt>
                <c:pt idx="51">
                  <c:v>-82.08457419540926</c:v>
                </c:pt>
                <c:pt idx="52">
                  <c:v>-82.036528645441706</c:v>
                </c:pt>
                <c:pt idx="53">
                  <c:v>-81.985358076830892</c:v>
                </c:pt>
                <c:pt idx="54">
                  <c:v>-81.931271366986721</c:v>
                </c:pt>
                <c:pt idx="55">
                  <c:v>-81.874459328475737</c:v>
                </c:pt>
                <c:pt idx="56">
                  <c:v>-81.815096621979265</c:v>
                </c:pt>
                <c:pt idx="57">
                  <c:v>-81.753343431369885</c:v>
                </c:pt>
                <c:pt idx="58">
                  <c:v>-81.689346934693702</c:v>
                </c:pt>
                <c:pt idx="59">
                  <c:v>-81.623242599474594</c:v>
                </c:pt>
                <c:pt idx="60">
                  <c:v>-81.555155326325362</c:v>
                </c:pt>
                <c:pt idx="61">
                  <c:v>-81.485200461182302</c:v>
                </c:pt>
                <c:pt idx="62">
                  <c:v>-81.413484693430178</c:v>
                </c:pt>
                <c:pt idx="63">
                  <c:v>-81.340106854640553</c:v>
                </c:pt>
                <c:pt idx="64">
                  <c:v>-81.265158630514478</c:v>
                </c:pt>
                <c:pt idx="65">
                  <c:v>-81.188725196833047</c:v>
                </c:pt>
                <c:pt idx="66">
                  <c:v>-81.110885788708046</c:v>
                </c:pt>
                <c:pt idx="67">
                  <c:v>-81.031714211150444</c:v>
                </c:pt>
                <c:pt idx="68">
                  <c:v>-80.951279297892</c:v>
                </c:pt>
                <c:pt idx="69">
                  <c:v>-80.869645324474106</c:v>
                </c:pt>
                <c:pt idx="70">
                  <c:v>-80.786872380832563</c:v>
                </c:pt>
                <c:pt idx="71">
                  <c:v>-80.70301670793576</c:v>
                </c:pt>
                <c:pt idx="72">
                  <c:v>-80.618131002456181</c:v>
                </c:pt>
                <c:pt idx="73">
                  <c:v>-80.532264692960197</c:v>
                </c:pt>
                <c:pt idx="74">
                  <c:v>-80.445464190673917</c:v>
                </c:pt>
                <c:pt idx="75">
                  <c:v>-80.35777311751248</c:v>
                </c:pt>
                <c:pt idx="76">
                  <c:v>-80.269232513741926</c:v>
                </c:pt>
                <c:pt idx="77">
                  <c:v>-80.17988102736382</c:v>
                </c:pt>
                <c:pt idx="78">
                  <c:v>-80.089755087071282</c:v>
                </c:pt>
                <c:pt idx="79">
                  <c:v>-79.998889060415465</c:v>
                </c:pt>
                <c:pt idx="80">
                  <c:v>-79.907315398636058</c:v>
                </c:pt>
                <c:pt idx="81">
                  <c:v>-79.815064769449449</c:v>
                </c:pt>
                <c:pt idx="82">
                  <c:v>-79.722166178946352</c:v>
                </c:pt>
                <c:pt idx="83">
                  <c:v>-79.628647083626078</c:v>
                </c:pt>
                <c:pt idx="84">
                  <c:v>-79.534533493486393</c:v>
                </c:pt>
                <c:pt idx="85">
                  <c:v>-79.439850066990971</c:v>
                </c:pt>
                <c:pt idx="86">
                  <c:v>-79.344620198650418</c:v>
                </c:pt>
                <c:pt idx="87">
                  <c:v>-79.248866099878811</c:v>
                </c:pt>
                <c:pt idx="88">
                  <c:v>-79.152608873720837</c:v>
                </c:pt>
                <c:pt idx="89">
                  <c:v>-79.055868583983838</c:v>
                </c:pt>
                <c:pt idx="90">
                  <c:v>-78.958664319256968</c:v>
                </c:pt>
                <c:pt idx="91">
                  <c:v>-78.861014252255089</c:v>
                </c:pt>
                <c:pt idx="92">
                  <c:v>-78.762935694878578</c:v>
                </c:pt>
                <c:pt idx="93">
                  <c:v>-78.664445149346705</c:v>
                </c:pt>
                <c:pt idx="94">
                  <c:v>-78.565558355727148</c:v>
                </c:pt>
                <c:pt idx="95">
                  <c:v>-78.466290336153989</c:v>
                </c:pt>
                <c:pt idx="96">
                  <c:v>-78.366655436001352</c:v>
                </c:pt>
                <c:pt idx="97">
                  <c:v>-78.266667362252491</c:v>
                </c:pt>
                <c:pt idx="98">
                  <c:v>-78.166339219286314</c:v>
                </c:pt>
                <c:pt idx="99">
                  <c:v>-78.065683542281221</c:v>
                </c:pt>
                <c:pt idx="100">
                  <c:v>-77.964712328419083</c:v>
                </c:pt>
                <c:pt idx="101">
                  <c:v>-77.863437066056946</c:v>
                </c:pt>
                <c:pt idx="102">
                  <c:v>-77.76186876201821</c:v>
                </c:pt>
                <c:pt idx="103">
                  <c:v>-77.660017967144711</c:v>
                </c:pt>
                <c:pt idx="104">
                  <c:v>-77.557894800235843</c:v>
                </c:pt>
                <c:pt idx="105">
                  <c:v>-77.455508970494222</c:v>
                </c:pt>
                <c:pt idx="106">
                  <c:v>-77.35286979858293</c:v>
                </c:pt>
                <c:pt idx="107">
                  <c:v>-77.249986236396154</c:v>
                </c:pt>
                <c:pt idx="108">
                  <c:v>-77.146866885631724</c:v>
                </c:pt>
                <c:pt idx="109">
                  <c:v>-77.043520015251389</c:v>
                </c:pt>
                <c:pt idx="110">
                  <c:v>-75.999149188942908</c:v>
                </c:pt>
                <c:pt idx="111">
                  <c:v>-74.939178912783674</c:v>
                </c:pt>
                <c:pt idx="112">
                  <c:v>-73.868266809783563</c:v>
                </c:pt>
                <c:pt idx="113">
                  <c:v>-72.789813704413916</c:v>
                </c:pt>
                <c:pt idx="114">
                  <c:v>-71.706379714761454</c:v>
                </c:pt>
                <c:pt idx="115">
                  <c:v>-70.61994427798551</c:v>
                </c:pt>
                <c:pt idx="116">
                  <c:v>-69.53207434929881</c:v>
                </c:pt>
                <c:pt idx="117">
                  <c:v>-68.444036480497672</c:v>
                </c:pt>
                <c:pt idx="118">
                  <c:v>-67.356873457775009</c:v>
                </c:pt>
                <c:pt idx="119">
                  <c:v>-66.271457910381386</c:v>
                </c:pt>
                <c:pt idx="120">
                  <c:v>-65.188530575230857</c:v>
                </c:pt>
                <c:pt idx="121">
                  <c:v>-64.108728108738774</c:v>
                </c:pt>
                <c:pt idx="122">
                  <c:v>-63.032603636088204</c:v>
                </c:pt>
                <c:pt idx="123">
                  <c:v>-61.960642164659674</c:v>
                </c:pt>
                <c:pt idx="124">
                  <c:v>-60.893272307564757</c:v>
                </c:pt>
                <c:pt idx="125">
                  <c:v>-59.830875317973756</c:v>
                </c:pt>
                <c:pt idx="126">
                  <c:v>-58.773792138021932</c:v>
                </c:pt>
                <c:pt idx="127">
                  <c:v>-57.72232896455106</c:v>
                </c:pt>
                <c:pt idx="128">
                  <c:v>-56.676761694935195</c:v>
                </c:pt>
                <c:pt idx="129">
                  <c:v>-55.637339518898628</c:v>
                </c:pt>
                <c:pt idx="130">
                  <c:v>-54.604287853156919</c:v>
                </c:pt>
                <c:pt idx="131">
                  <c:v>-53.577810766047357</c:v>
                </c:pt>
                <c:pt idx="132">
                  <c:v>-52.558093003203531</c:v>
                </c:pt>
                <c:pt idx="133">
                  <c:v>-51.545301698785082</c:v>
                </c:pt>
                <c:pt idx="134">
                  <c:v>-50.539587837055997</c:v>
                </c:pt>
                <c:pt idx="135">
                  <c:v>-49.541087514344731</c:v>
                </c:pt>
                <c:pt idx="136">
                  <c:v>-48.549923040254775</c:v>
                </c:pt>
                <c:pt idx="137">
                  <c:v>-47.566203908493982</c:v>
                </c:pt>
                <c:pt idx="138">
                  <c:v>-46.59002766117667</c:v>
                </c:pt>
                <c:pt idx="139">
                  <c:v>-45.621480665416939</c:v>
                </c:pt>
                <c:pt idx="140">
                  <c:v>-44.660638817122397</c:v>
                </c:pt>
                <c:pt idx="141">
                  <c:v>-43.707568183850945</c:v>
                </c:pt>
                <c:pt idx="142">
                  <c:v>-42.762325596198473</c:v>
                </c:pt>
                <c:pt idx="143">
                  <c:v>-41.824959195299314</c:v>
                </c:pt>
                <c:pt idx="144">
                  <c:v>-40.895508942536665</c:v>
                </c:pt>
                <c:pt idx="145">
                  <c:v>-39.974007096375878</c:v>
                </c:pt>
                <c:pt idx="146">
                  <c:v>-39.060478660297193</c:v>
                </c:pt>
                <c:pt idx="147">
                  <c:v>-38.154941805058542</c:v>
                </c:pt>
                <c:pt idx="148">
                  <c:v>-37.257408267921974</c:v>
                </c:pt>
                <c:pt idx="149">
                  <c:v>-36.367883731003758</c:v>
                </c:pt>
                <c:pt idx="150">
                  <c:v>-35.486368180525801</c:v>
                </c:pt>
                <c:pt idx="151">
                  <c:v>-34.612856248449276</c:v>
                </c:pt>
                <c:pt idx="152">
                  <c:v>-33.747337537721521</c:v>
                </c:pt>
                <c:pt idx="153">
                  <c:v>-32.889796932182975</c:v>
                </c:pt>
                <c:pt idx="154">
                  <c:v>-32.040214892018767</c:v>
                </c:pt>
                <c:pt idx="155">
                  <c:v>-31.198567735526176</c:v>
                </c:pt>
                <c:pt idx="156">
                  <c:v>-30.364827907864392</c:v>
                </c:pt>
                <c:pt idx="157">
                  <c:v>-29.538964237382821</c:v>
                </c:pt>
                <c:pt idx="158">
                  <c:v>-28.720942180057396</c:v>
                </c:pt>
                <c:pt idx="159">
                  <c:v>-27.910724052521179</c:v>
                </c:pt>
                <c:pt idx="160">
                  <c:v>-27.108269254133933</c:v>
                </c:pt>
                <c:pt idx="161">
                  <c:v>-26.313534478506675</c:v>
                </c:pt>
                <c:pt idx="162">
                  <c:v>-25.52647391487487</c:v>
                </c:pt>
                <c:pt idx="163">
                  <c:v>-24.74703943968936</c:v>
                </c:pt>
                <c:pt idx="164">
                  <c:v>-23.975180798787289</c:v>
                </c:pt>
                <c:pt idx="165">
                  <c:v>-23.2108457804826</c:v>
                </c:pt>
                <c:pt idx="166">
                  <c:v>-22.453980379914331</c:v>
                </c:pt>
                <c:pt idx="167">
                  <c:v>-21.704528954974158</c:v>
                </c:pt>
                <c:pt idx="168">
                  <c:v>-20.962434374135182</c:v>
                </c:pt>
                <c:pt idx="169">
                  <c:v>-20.227638156484147</c:v>
                </c:pt>
                <c:pt idx="170">
                  <c:v>-19.500080604268902</c:v>
                </c:pt>
                <c:pt idx="171">
                  <c:v>-18.779700928250733</c:v>
                </c:pt>
                <c:pt idx="172">
                  <c:v>-18.06643736615511</c:v>
                </c:pt>
                <c:pt idx="173">
                  <c:v>-17.360227294504142</c:v>
                </c:pt>
                <c:pt idx="174">
                  <c:v>-16.661007334106262</c:v>
                </c:pt>
                <c:pt idx="175">
                  <c:v>-15.968713449478315</c:v>
                </c:pt>
                <c:pt idx="176">
                  <c:v>-15.283281042458903</c:v>
                </c:pt>
                <c:pt idx="177">
                  <c:v>-14.604645040273004</c:v>
                </c:pt>
                <c:pt idx="178">
                  <c:v>-13.932739978301624</c:v>
                </c:pt>
                <c:pt idx="179">
                  <c:v>-13.267500077790439</c:v>
                </c:pt>
                <c:pt idx="180">
                  <c:v>-12.608859318744607</c:v>
                </c:pt>
                <c:pt idx="181">
                  <c:v>-11.956751508231545</c:v>
                </c:pt>
                <c:pt idx="182">
                  <c:v>-11.311110344315177</c:v>
                </c:pt>
                <c:pt idx="183">
                  <c:v>-10.671869475835873</c:v>
                </c:pt>
                <c:pt idx="184">
                  <c:v>-10.038962558242462</c:v>
                </c:pt>
                <c:pt idx="185">
                  <c:v>-9.4123233056762174</c:v>
                </c:pt>
                <c:pt idx="186">
                  <c:v>-8.7918855394974962</c:v>
                </c:pt>
                <c:pt idx="187">
                  <c:v>-8.177583233440636</c:v>
                </c:pt>
                <c:pt idx="188">
                  <c:v>-7.5693505555738589</c:v>
                </c:pt>
                <c:pt idx="189">
                  <c:v>-6.9671219072335804</c:v>
                </c:pt>
                <c:pt idx="190">
                  <c:v>-6.3708319590984184</c:v>
                </c:pt>
                <c:pt idx="191">
                  <c:v>-5.7804156845558152</c:v>
                </c:pt>
                <c:pt idx="192">
                  <c:v>-5.1958083905130739</c:v>
                </c:pt>
                <c:pt idx="193">
                  <c:v>-4.6169457457942693</c:v>
                </c:pt>
                <c:pt idx="194">
                  <c:v>-4.0437638072599293</c:v>
                </c:pt>
                <c:pt idx="195">
                  <c:v>-3.4761990437785153</c:v>
                </c:pt>
                <c:pt idx="196">
                  <c:v>-2.9141883581748025</c:v>
                </c:pt>
                <c:pt idx="197">
                  <c:v>-2.3576691072714162</c:v>
                </c:pt>
                <c:pt idx="198">
                  <c:v>-1.8065791201376964</c:v>
                </c:pt>
                <c:pt idx="199">
                  <c:v>-1.2608567146507046</c:v>
                </c:pt>
                <c:pt idx="200">
                  <c:v>3.9143451112671346</c:v>
                </c:pt>
                <c:pt idx="201">
                  <c:v>8.61659692029178</c:v>
                </c:pt>
                <c:pt idx="202">
                  <c:v>12.898252688062934</c:v>
                </c:pt>
                <c:pt idx="203">
                  <c:v>16.805874174483048</c:v>
                </c:pt>
                <c:pt idx="204">
                  <c:v>20.38057668681969</c:v>
                </c:pt>
                <c:pt idx="205">
                  <c:v>23.658530787750617</c:v>
                </c:pt>
                <c:pt idx="206">
                  <c:v>26.671504685849861</c:v>
                </c:pt>
                <c:pt idx="207">
                  <c:v>29.447390770098028</c:v>
                </c:pt>
                <c:pt idx="208">
                  <c:v>32.010690968762525</c:v>
                </c:pt>
                <c:pt idx="209">
                  <c:v>34.382951789108191</c:v>
                </c:pt>
                <c:pt idx="210">
                  <c:v>36.583148009299734</c:v>
                </c:pt>
                <c:pt idx="211">
                  <c:v>38.628017847621209</c:v>
                </c:pt>
                <c:pt idx="212">
                  <c:v>40.532354062867057</c:v>
                </c:pt>
                <c:pt idx="213">
                  <c:v>42.309255925881061</c:v>
                </c:pt>
                <c:pt idx="214">
                  <c:v>43.970346919384312</c:v>
                </c:pt>
                <c:pt idx="215">
                  <c:v>45.525962674796361</c:v>
                </c:pt>
                <c:pt idx="216">
                  <c:v>46.985313200302329</c:v>
                </c:pt>
                <c:pt idx="217">
                  <c:v>48.356622976784926</c:v>
                </c:pt>
                <c:pt idx="218">
                  <c:v>49.647252038898607</c:v>
                </c:pt>
                <c:pt idx="219">
                  <c:v>50.863800736812848</c:v>
                </c:pt>
                <c:pt idx="220">
                  <c:v>52.012200497251534</c:v>
                </c:pt>
                <c:pt idx="221">
                  <c:v>53.097792571351093</c:v>
                </c:pt>
                <c:pt idx="222">
                  <c:v>54.125396469258533</c:v>
                </c:pt>
                <c:pt idx="223">
                  <c:v>55.099369533489906</c:v>
                </c:pt>
                <c:pt idx="224">
                  <c:v>56.023658890513843</c:v>
                </c:pt>
                <c:pt idx="225">
                  <c:v>56.901846838452379</c:v>
                </c:pt>
                <c:pt idx="226">
                  <c:v>57.737190574054011</c:v>
                </c:pt>
                <c:pt idx="227">
                  <c:v>58.532657030444796</c:v>
                </c:pt>
                <c:pt idx="228">
                  <c:v>59.290953485257276</c:v>
                </c:pt>
                <c:pt idx="229">
                  <c:v>60.014554503646139</c:v>
                </c:pt>
                <c:pt idx="230">
                  <c:v>60.705725699897272</c:v>
                </c:pt>
                <c:pt idx="231">
                  <c:v>61.366544732658724</c:v>
                </c:pt>
                <c:pt idx="232">
                  <c:v>61.99891989039326</c:v>
                </c:pt>
                <c:pt idx="233">
                  <c:v>62.604606573928749</c:v>
                </c:pt>
                <c:pt idx="234">
                  <c:v>63.185221940592392</c:v>
                </c:pt>
                <c:pt idx="235">
                  <c:v>63.742257938267493</c:v>
                </c:pt>
                <c:pt idx="236">
                  <c:v>64.277092926822007</c:v>
                </c:pt>
                <c:pt idx="237">
                  <c:v>64.791002057933269</c:v>
                </c:pt>
                <c:pt idx="238">
                  <c:v>65.285166561709119</c:v>
                </c:pt>
                <c:pt idx="239">
                  <c:v>65.760682069082037</c:v>
                </c:pt>
                <c:pt idx="240">
                  <c:v>66.218566082271266</c:v>
                </c:pt>
                <c:pt idx="241">
                  <c:v>66.659764691249606</c:v>
                </c:pt>
                <c:pt idx="242">
                  <c:v>67.085158621770006</c:v>
                </c:pt>
                <c:pt idx="243">
                  <c:v>67.495568689828374</c:v>
                </c:pt>
                <c:pt idx="244">
                  <c:v>67.89176072818762</c:v>
                </c:pt>
                <c:pt idx="245">
                  <c:v>68.274450042590971</c:v>
                </c:pt>
                <c:pt idx="246">
                  <c:v>68.644305448340972</c:v>
                </c:pt>
                <c:pt idx="247">
                  <c:v>69.001952931886748</c:v>
                </c:pt>
                <c:pt idx="248">
                  <c:v>69.347978976806246</c:v>
                </c:pt>
                <c:pt idx="249">
                  <c:v>69.682933588990679</c:v>
                </c:pt>
                <c:pt idx="250">
                  <c:v>70.007333051835445</c:v>
                </c:pt>
                <c:pt idx="251">
                  <c:v>70.321662438744113</c:v>
                </c:pt>
                <c:pt idx="252">
                  <c:v>70.626377907185386</c:v>
                </c:pt>
                <c:pt idx="253">
                  <c:v>70.921908795855785</c:v>
                </c:pt>
                <c:pt idx="254">
                  <c:v>71.208659544134477</c:v>
                </c:pt>
                <c:pt idx="255">
                  <c:v>71.487011450938454</c:v>
                </c:pt>
                <c:pt idx="256">
                  <c:v>71.757324288253969</c:v>
                </c:pt>
                <c:pt idx="257">
                  <c:v>72.0199377830006</c:v>
                </c:pt>
                <c:pt idx="258">
                  <c:v>72.275172979454581</c:v>
                </c:pt>
                <c:pt idx="259">
                  <c:v>72.523333493194272</c:v>
                </c:pt>
                <c:pt idx="260">
                  <c:v>72.764706666404663</c:v>
                </c:pt>
                <c:pt idx="261">
                  <c:v>72.999564633385788</c:v>
                </c:pt>
                <c:pt idx="262">
                  <c:v>73.228165304223253</c:v>
                </c:pt>
                <c:pt idx="263">
                  <c:v>73.450753273789033</c:v>
                </c:pt>
                <c:pt idx="264">
                  <c:v>73.667560662542598</c:v>
                </c:pt>
                <c:pt idx="265">
                  <c:v>73.878807894975267</c:v>
                </c:pt>
                <c:pt idx="266">
                  <c:v>74.084704420975683</c:v>
                </c:pt>
                <c:pt idx="267">
                  <c:v>74.285449384901071</c:v>
                </c:pt>
                <c:pt idx="268">
                  <c:v>74.481232246688734</c:v>
                </c:pt>
                <c:pt idx="269">
                  <c:v>74.672233358933497</c:v>
                </c:pt>
                <c:pt idx="270">
                  <c:v>74.858624503506789</c:v>
                </c:pt>
                <c:pt idx="271">
                  <c:v>75.040569390960542</c:v>
                </c:pt>
                <c:pt idx="272">
                  <c:v>75.218224125668982</c:v>
                </c:pt>
                <c:pt idx="273">
                  <c:v>75.39173763940066</c:v>
                </c:pt>
                <c:pt idx="274">
                  <c:v>75.561252095775785</c:v>
                </c:pt>
                <c:pt idx="275">
                  <c:v>75.726903267845486</c:v>
                </c:pt>
                <c:pt idx="276">
                  <c:v>75.888820890841828</c:v>
                </c:pt>
                <c:pt idx="277">
                  <c:v>76.047128991970268</c:v>
                </c:pt>
                <c:pt idx="278">
                  <c:v>76.201946198956833</c:v>
                </c:pt>
                <c:pt idx="279">
                  <c:v>76.353386028918521</c:v>
                </c:pt>
                <c:pt idx="280">
                  <c:v>76.501557158999461</c:v>
                </c:pt>
                <c:pt idx="281">
                  <c:v>76.646563680090409</c:v>
                </c:pt>
                <c:pt idx="282">
                  <c:v>76.788505334847059</c:v>
                </c:pt>
                <c:pt idx="283">
                  <c:v>76.927477741120484</c:v>
                </c:pt>
                <c:pt idx="284">
                  <c:v>77.063572601829989</c:v>
                </c:pt>
                <c:pt idx="285">
                  <c:v>77.196877902218958</c:v>
                </c:pt>
                <c:pt idx="286">
                  <c:v>77.327478095367425</c:v>
                </c:pt>
                <c:pt idx="287">
                  <c:v>77.45545427676501</c:v>
                </c:pt>
                <c:pt idx="288">
                  <c:v>77.580884348682943</c:v>
                </c:pt>
                <c:pt idx="289">
                  <c:v>77.703843175033967</c:v>
                </c:pt>
                <c:pt idx="290">
                  <c:v>78.812079650195315</c:v>
                </c:pt>
                <c:pt idx="291">
                  <c:v>79.737694038730098</c:v>
                </c:pt>
                <c:pt idx="292">
                  <c:v>80.522268054454983</c:v>
                </c:pt>
                <c:pt idx="293">
                  <c:v>81.195680059482754</c:v>
                </c:pt>
                <c:pt idx="294">
                  <c:v>81.779943219057913</c:v>
                </c:pt>
                <c:pt idx="295">
                  <c:v>82.291628969073813</c:v>
                </c:pt>
                <c:pt idx="296">
                  <c:v>82.743447904686334</c:v>
                </c:pt>
                <c:pt idx="297">
                  <c:v>83.145310626482569</c:v>
                </c:pt>
                <c:pt idx="298">
                  <c:v>83.50505748528991</c:v>
                </c:pt>
                <c:pt idx="299">
                  <c:v>83.828971681635522</c:v>
                </c:pt>
                <c:pt idx="300">
                  <c:v>84.122147136384982</c:v>
                </c:pt>
                <c:pt idx="301">
                  <c:v>84.388756880947497</c:v>
                </c:pt>
                <c:pt idx="302">
                  <c:v>84.632251970038823</c:v>
                </c:pt>
                <c:pt idx="303">
                  <c:v>84.855511014447629</c:v>
                </c:pt>
                <c:pt idx="304">
                  <c:v>85.060954056110702</c:v>
                </c:pt>
                <c:pt idx="305">
                  <c:v>85.250630319284625</c:v>
                </c:pt>
                <c:pt idx="306">
                  <c:v>85.426286567539449</c:v>
                </c:pt>
                <c:pt idx="307">
                  <c:v>85.589420886571304</c:v>
                </c:pt>
                <c:pt idx="308">
                  <c:v>85.741325391534133</c:v>
                </c:pt>
                <c:pt idx="309">
                  <c:v>85.883120430050965</c:v>
                </c:pt>
                <c:pt idx="310">
                  <c:v>86.015782192148549</c:v>
                </c:pt>
                <c:pt idx="311">
                  <c:v>86.140165162973005</c:v>
                </c:pt>
                <c:pt idx="312">
                  <c:v>86.257020507712298</c:v>
                </c:pt>
                <c:pt idx="313">
                  <c:v>86.367011222956705</c:v>
                </c:pt>
                <c:pt idx="314">
                  <c:v>86.470724698846439</c:v>
                </c:pt>
                <c:pt idx="315">
                  <c:v>86.568683193730635</c:v>
                </c:pt>
                <c:pt idx="316">
                  <c:v>86.661352614984864</c:v>
                </c:pt>
                <c:pt idx="317">
                  <c:v>86.749149917052137</c:v>
                </c:pt>
                <c:pt idx="318">
                  <c:v>86.832449364175858</c:v>
                </c:pt>
                <c:pt idx="319">
                  <c:v>86.911587855956341</c:v>
                </c:pt>
                <c:pt idx="320">
                  <c:v>86.986869475317206</c:v>
                </c:pt>
                <c:pt idx="321">
                  <c:v>87.058569388157849</c:v>
                </c:pt>
                <c:pt idx="322">
                  <c:v>87.126937199981143</c:v>
                </c:pt>
                <c:pt idx="323">
                  <c:v>87.192199855691612</c:v>
                </c:pt>
                <c:pt idx="324">
                  <c:v>87.254564153473339</c:v>
                </c:pt>
                <c:pt idx="325">
                  <c:v>87.314218931354105</c:v>
                </c:pt>
                <c:pt idx="326">
                  <c:v>87.371336975107965</c:v>
                </c:pt>
                <c:pt idx="327">
                  <c:v>87.4260766880587</c:v>
                </c:pt>
                <c:pt idx="328">
                  <c:v>87.478583556736169</c:v>
                </c:pt>
                <c:pt idx="329">
                  <c:v>87.528991440917466</c:v>
                </c:pt>
                <c:pt idx="330">
                  <c:v>87.577423712116399</c:v>
                </c:pt>
                <c:pt idx="331">
                  <c:v>87.623994260889816</c:v>
                </c:pt>
                <c:pt idx="332">
                  <c:v>87.66880839026112</c:v>
                </c:pt>
                <c:pt idx="333">
                  <c:v>87.711963610000694</c:v>
                </c:pt>
                <c:pt idx="334">
                  <c:v>87.75355034436447</c:v>
                </c:pt>
                <c:pt idx="335">
                  <c:v>87.793652564092937</c:v>
                </c:pt>
                <c:pt idx="336">
                  <c:v>87.832348351960206</c:v>
                </c:pt>
                <c:pt idx="337">
                  <c:v>87.869710409882089</c:v>
                </c:pt>
                <c:pt idx="338">
                  <c:v>87.905806514509152</c:v>
                </c:pt>
                <c:pt idx="339">
                  <c:v>87.940699927307065</c:v>
                </c:pt>
                <c:pt idx="340">
                  <c:v>87.974449764341273</c:v>
                </c:pt>
                <c:pt idx="341">
                  <c:v>88.007111330310465</c:v>
                </c:pt>
                <c:pt idx="342">
                  <c:v>88.038736420797036</c:v>
                </c:pt>
                <c:pt idx="343">
                  <c:v>88.069373596206916</c:v>
                </c:pt>
                <c:pt idx="344">
                  <c:v>88.099068430444746</c:v>
                </c:pt>
                <c:pt idx="345">
                  <c:v>88.127863737001434</c:v>
                </c:pt>
                <c:pt idx="346">
                  <c:v>88.155799774811527</c:v>
                </c:pt>
                <c:pt idx="347">
                  <c:v>88.182914435961251</c:v>
                </c:pt>
                <c:pt idx="348">
                  <c:v>88.209243417086611</c:v>
                </c:pt>
                <c:pt idx="349">
                  <c:v>88.234820376091335</c:v>
                </c:pt>
                <c:pt idx="350">
                  <c:v>88.259677075630663</c:v>
                </c:pt>
                <c:pt idx="351">
                  <c:v>88.283843514646492</c:v>
                </c:pt>
                <c:pt idx="352">
                  <c:v>88.307348049099147</c:v>
                </c:pt>
                <c:pt idx="353">
                  <c:v>88.330217502916284</c:v>
                </c:pt>
                <c:pt idx="354">
                  <c:v>88.352477270071816</c:v>
                </c:pt>
                <c:pt idx="355">
                  <c:v>88.374151408611198</c:v>
                </c:pt>
                <c:pt idx="356">
                  <c:v>88.395262727354449</c:v>
                </c:pt>
                <c:pt idx="357">
                  <c:v>88.415832865933695</c:v>
                </c:pt>
                <c:pt idx="358">
                  <c:v>88.435882368755514</c:v>
                </c:pt>
                <c:pt idx="359">
                  <c:v>88.455430753419421</c:v>
                </c:pt>
                <c:pt idx="360">
                  <c:v>88.474496574070699</c:v>
                </c:pt>
                <c:pt idx="361">
                  <c:v>88.493097480120781</c:v>
                </c:pt>
                <c:pt idx="362">
                  <c:v>88.511250270724588</c:v>
                </c:pt>
                <c:pt idx="363">
                  <c:v>88.528970945368712</c:v>
                </c:pt>
                <c:pt idx="364">
                  <c:v>88.546274750890589</c:v>
                </c:pt>
                <c:pt idx="365">
                  <c:v>88.563176225218811</c:v>
                </c:pt>
                <c:pt idx="366">
                  <c:v>88.579689238098325</c:v>
                </c:pt>
                <c:pt idx="367">
                  <c:v>88.595827029040152</c:v>
                </c:pt>
                <c:pt idx="368">
                  <c:v>88.611602242714071</c:v>
                </c:pt>
                <c:pt idx="369">
                  <c:v>88.627026961982523</c:v>
                </c:pt>
                <c:pt idx="370">
                  <c:v>88.642112738757803</c:v>
                </c:pt>
                <c:pt idx="371">
                  <c:v>88.656870622847308</c:v>
                </c:pt>
                <c:pt idx="372">
                  <c:v>88.671311188938958</c:v>
                </c:pt>
                <c:pt idx="373">
                  <c:v>88.685444561864387</c:v>
                </c:pt>
                <c:pt idx="374">
                  <c:v>88.699280440267785</c:v>
                </c:pt>
                <c:pt idx="375">
                  <c:v>88.712828118795457</c:v>
                </c:pt>
                <c:pt idx="376">
                  <c:v>88.726096508913812</c:v>
                </c:pt>
                <c:pt idx="377">
                  <c:v>88.7390941584529</c:v>
                </c:pt>
                <c:pt idx="378">
                  <c:v>88.751829269966152</c:v>
                </c:pt>
                <c:pt idx="379">
                  <c:v>88.764309717988965</c:v>
                </c:pt>
              </c:numCache>
            </c:numRef>
          </c:yVal>
          <c:smooth val="1"/>
          <c:extLst>
            <c:ext xmlns:c16="http://schemas.microsoft.com/office/drawing/2014/chart" uri="{C3380CC4-5D6E-409C-BE32-E72D297353CC}">
              <c16:uniqueId val="{00000000-9430-4BC9-9256-E6EF68D95D16}"/>
            </c:ext>
          </c:extLst>
        </c:ser>
        <c:dLbls>
          <c:showLegendKey val="0"/>
          <c:showVal val="0"/>
          <c:showCatName val="0"/>
          <c:showSerName val="0"/>
          <c:showPercent val="0"/>
          <c:showBubbleSize val="0"/>
        </c:dLbls>
        <c:axId val="1434155088"/>
        <c:axId val="1570699712"/>
      </c:scatterChart>
      <c:valAx>
        <c:axId val="1434155088"/>
        <c:scaling>
          <c:logBase val="10"/>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Transfer Function DCM (db)</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'Loop Gain'!$Q$1</c:f>
              <c:strCache>
                <c:ptCount val="1"/>
                <c:pt idx="0">
                  <c:v>Transer Function (db)</c:v>
                </c:pt>
              </c:strCache>
            </c:strRef>
          </c:tx>
          <c:spPr>
            <a:ln w="19050" cap="rnd">
              <a:solidFill>
                <a:schemeClr val="accent1"/>
              </a:solidFill>
              <a:round/>
            </a:ln>
            <a:effectLst/>
          </c:spPr>
          <c:marker>
            <c:symbol val="none"/>
          </c:marker>
          <c:xVal>
            <c:numRef>
              <c:f>'Loop Gain'!$A$2:$A$381</c:f>
              <c:numCache>
                <c:formatCode>General</c:formatCode>
                <c:ptCount val="380"/>
                <c:pt idx="0">
                  <c:v>1</c:v>
                </c:pt>
                <c:pt idx="1">
                  <c:v>10</c:v>
                </c:pt>
                <c:pt idx="2">
                  <c:v>20</c:v>
                </c:pt>
                <c:pt idx="3">
                  <c:v>30</c:v>
                </c:pt>
                <c:pt idx="4">
                  <c:v>40</c:v>
                </c:pt>
                <c:pt idx="5">
                  <c:v>50</c:v>
                </c:pt>
                <c:pt idx="6">
                  <c:v>60</c:v>
                </c:pt>
                <c:pt idx="7">
                  <c:v>70</c:v>
                </c:pt>
                <c:pt idx="8">
                  <c:v>80</c:v>
                </c:pt>
                <c:pt idx="9">
                  <c:v>90</c:v>
                </c:pt>
                <c:pt idx="10">
                  <c:v>100</c:v>
                </c:pt>
                <c:pt idx="11">
                  <c:v>200</c:v>
                </c:pt>
                <c:pt idx="12">
                  <c:v>300</c:v>
                </c:pt>
                <c:pt idx="13">
                  <c:v>400</c:v>
                </c:pt>
                <c:pt idx="14">
                  <c:v>500</c:v>
                </c:pt>
                <c:pt idx="15">
                  <c:v>600</c:v>
                </c:pt>
                <c:pt idx="16">
                  <c:v>700</c:v>
                </c:pt>
                <c:pt idx="17">
                  <c:v>800</c:v>
                </c:pt>
                <c:pt idx="18">
                  <c:v>900</c:v>
                </c:pt>
                <c:pt idx="19">
                  <c:v>1000</c:v>
                </c:pt>
                <c:pt idx="20">
                  <c:v>1100</c:v>
                </c:pt>
                <c:pt idx="21">
                  <c:v>1200</c:v>
                </c:pt>
                <c:pt idx="22">
                  <c:v>1300</c:v>
                </c:pt>
                <c:pt idx="23">
                  <c:v>1400</c:v>
                </c:pt>
                <c:pt idx="24">
                  <c:v>1500</c:v>
                </c:pt>
                <c:pt idx="25">
                  <c:v>1600</c:v>
                </c:pt>
                <c:pt idx="26">
                  <c:v>1700</c:v>
                </c:pt>
                <c:pt idx="27">
                  <c:v>1800</c:v>
                </c:pt>
                <c:pt idx="28">
                  <c:v>1900</c:v>
                </c:pt>
                <c:pt idx="29">
                  <c:v>2000</c:v>
                </c:pt>
                <c:pt idx="30">
                  <c:v>2100</c:v>
                </c:pt>
                <c:pt idx="31">
                  <c:v>2200</c:v>
                </c:pt>
                <c:pt idx="32">
                  <c:v>2300</c:v>
                </c:pt>
                <c:pt idx="33">
                  <c:v>2400</c:v>
                </c:pt>
                <c:pt idx="34">
                  <c:v>2500</c:v>
                </c:pt>
                <c:pt idx="35">
                  <c:v>2600</c:v>
                </c:pt>
                <c:pt idx="36">
                  <c:v>2700</c:v>
                </c:pt>
                <c:pt idx="37">
                  <c:v>2800</c:v>
                </c:pt>
                <c:pt idx="38">
                  <c:v>2900</c:v>
                </c:pt>
                <c:pt idx="39">
                  <c:v>3000</c:v>
                </c:pt>
                <c:pt idx="40">
                  <c:v>3100</c:v>
                </c:pt>
                <c:pt idx="41">
                  <c:v>3200</c:v>
                </c:pt>
                <c:pt idx="42">
                  <c:v>3300</c:v>
                </c:pt>
                <c:pt idx="43">
                  <c:v>3400</c:v>
                </c:pt>
                <c:pt idx="44">
                  <c:v>3500</c:v>
                </c:pt>
                <c:pt idx="45">
                  <c:v>3600</c:v>
                </c:pt>
                <c:pt idx="46">
                  <c:v>3700</c:v>
                </c:pt>
                <c:pt idx="47">
                  <c:v>3800</c:v>
                </c:pt>
                <c:pt idx="48">
                  <c:v>3900</c:v>
                </c:pt>
                <c:pt idx="49">
                  <c:v>4000</c:v>
                </c:pt>
                <c:pt idx="50">
                  <c:v>4100</c:v>
                </c:pt>
                <c:pt idx="51">
                  <c:v>4200</c:v>
                </c:pt>
                <c:pt idx="52">
                  <c:v>4300</c:v>
                </c:pt>
                <c:pt idx="53">
                  <c:v>4400</c:v>
                </c:pt>
                <c:pt idx="54">
                  <c:v>4500</c:v>
                </c:pt>
                <c:pt idx="55">
                  <c:v>4600</c:v>
                </c:pt>
                <c:pt idx="56">
                  <c:v>4700</c:v>
                </c:pt>
                <c:pt idx="57">
                  <c:v>4800</c:v>
                </c:pt>
                <c:pt idx="58">
                  <c:v>4900</c:v>
                </c:pt>
                <c:pt idx="59">
                  <c:v>5000</c:v>
                </c:pt>
                <c:pt idx="60">
                  <c:v>5100</c:v>
                </c:pt>
                <c:pt idx="61">
                  <c:v>5200</c:v>
                </c:pt>
                <c:pt idx="62">
                  <c:v>5300</c:v>
                </c:pt>
                <c:pt idx="63">
                  <c:v>5400</c:v>
                </c:pt>
                <c:pt idx="64">
                  <c:v>5500</c:v>
                </c:pt>
                <c:pt idx="65">
                  <c:v>5600</c:v>
                </c:pt>
                <c:pt idx="66">
                  <c:v>5700</c:v>
                </c:pt>
                <c:pt idx="67">
                  <c:v>5800</c:v>
                </c:pt>
                <c:pt idx="68">
                  <c:v>5900</c:v>
                </c:pt>
                <c:pt idx="69">
                  <c:v>6000</c:v>
                </c:pt>
                <c:pt idx="70">
                  <c:v>6100</c:v>
                </c:pt>
                <c:pt idx="71">
                  <c:v>6200</c:v>
                </c:pt>
                <c:pt idx="72">
                  <c:v>6300</c:v>
                </c:pt>
                <c:pt idx="73">
                  <c:v>6400</c:v>
                </c:pt>
                <c:pt idx="74">
                  <c:v>6500</c:v>
                </c:pt>
                <c:pt idx="75">
                  <c:v>6600</c:v>
                </c:pt>
                <c:pt idx="76">
                  <c:v>6700</c:v>
                </c:pt>
                <c:pt idx="77">
                  <c:v>6800</c:v>
                </c:pt>
                <c:pt idx="78">
                  <c:v>6900</c:v>
                </c:pt>
                <c:pt idx="79">
                  <c:v>7000</c:v>
                </c:pt>
                <c:pt idx="80">
                  <c:v>7100</c:v>
                </c:pt>
                <c:pt idx="81">
                  <c:v>7200</c:v>
                </c:pt>
                <c:pt idx="82">
                  <c:v>7300</c:v>
                </c:pt>
                <c:pt idx="83">
                  <c:v>7400</c:v>
                </c:pt>
                <c:pt idx="84">
                  <c:v>7500</c:v>
                </c:pt>
                <c:pt idx="85">
                  <c:v>7600</c:v>
                </c:pt>
                <c:pt idx="86">
                  <c:v>7700</c:v>
                </c:pt>
                <c:pt idx="87">
                  <c:v>7800</c:v>
                </c:pt>
                <c:pt idx="88">
                  <c:v>7900</c:v>
                </c:pt>
                <c:pt idx="89">
                  <c:v>8000</c:v>
                </c:pt>
                <c:pt idx="90">
                  <c:v>8100</c:v>
                </c:pt>
                <c:pt idx="91">
                  <c:v>8200</c:v>
                </c:pt>
                <c:pt idx="92">
                  <c:v>8300</c:v>
                </c:pt>
                <c:pt idx="93">
                  <c:v>8400</c:v>
                </c:pt>
                <c:pt idx="94">
                  <c:v>8500</c:v>
                </c:pt>
                <c:pt idx="95">
                  <c:v>8600</c:v>
                </c:pt>
                <c:pt idx="96">
                  <c:v>8700</c:v>
                </c:pt>
                <c:pt idx="97">
                  <c:v>8800</c:v>
                </c:pt>
                <c:pt idx="98">
                  <c:v>8900</c:v>
                </c:pt>
                <c:pt idx="99">
                  <c:v>9000</c:v>
                </c:pt>
                <c:pt idx="100">
                  <c:v>9100</c:v>
                </c:pt>
                <c:pt idx="101">
                  <c:v>9200</c:v>
                </c:pt>
                <c:pt idx="102">
                  <c:v>9300</c:v>
                </c:pt>
                <c:pt idx="103">
                  <c:v>9400</c:v>
                </c:pt>
                <c:pt idx="104">
                  <c:v>9500</c:v>
                </c:pt>
                <c:pt idx="105">
                  <c:v>9600</c:v>
                </c:pt>
                <c:pt idx="106">
                  <c:v>9700</c:v>
                </c:pt>
                <c:pt idx="107">
                  <c:v>9800</c:v>
                </c:pt>
                <c:pt idx="108">
                  <c:v>9900</c:v>
                </c:pt>
                <c:pt idx="109">
                  <c:v>10000</c:v>
                </c:pt>
                <c:pt idx="110">
                  <c:v>11000</c:v>
                </c:pt>
                <c:pt idx="111">
                  <c:v>12000</c:v>
                </c:pt>
                <c:pt idx="112">
                  <c:v>13000</c:v>
                </c:pt>
                <c:pt idx="113">
                  <c:v>14000</c:v>
                </c:pt>
                <c:pt idx="114">
                  <c:v>15000</c:v>
                </c:pt>
                <c:pt idx="115">
                  <c:v>16000</c:v>
                </c:pt>
                <c:pt idx="116">
                  <c:v>17000</c:v>
                </c:pt>
                <c:pt idx="117">
                  <c:v>18000</c:v>
                </c:pt>
                <c:pt idx="118">
                  <c:v>19000</c:v>
                </c:pt>
                <c:pt idx="119">
                  <c:v>20000</c:v>
                </c:pt>
                <c:pt idx="120">
                  <c:v>21000</c:v>
                </c:pt>
                <c:pt idx="121">
                  <c:v>22000</c:v>
                </c:pt>
                <c:pt idx="122">
                  <c:v>23000</c:v>
                </c:pt>
                <c:pt idx="123">
                  <c:v>24000</c:v>
                </c:pt>
                <c:pt idx="124">
                  <c:v>25000</c:v>
                </c:pt>
                <c:pt idx="125">
                  <c:v>26000</c:v>
                </c:pt>
                <c:pt idx="126">
                  <c:v>27000</c:v>
                </c:pt>
                <c:pt idx="127">
                  <c:v>28000</c:v>
                </c:pt>
                <c:pt idx="128">
                  <c:v>29000</c:v>
                </c:pt>
                <c:pt idx="129">
                  <c:v>30000</c:v>
                </c:pt>
                <c:pt idx="130">
                  <c:v>31000</c:v>
                </c:pt>
                <c:pt idx="131">
                  <c:v>32000</c:v>
                </c:pt>
                <c:pt idx="132">
                  <c:v>33000</c:v>
                </c:pt>
                <c:pt idx="133">
                  <c:v>34000</c:v>
                </c:pt>
                <c:pt idx="134">
                  <c:v>35000</c:v>
                </c:pt>
                <c:pt idx="135">
                  <c:v>36000</c:v>
                </c:pt>
                <c:pt idx="136">
                  <c:v>37000</c:v>
                </c:pt>
                <c:pt idx="137">
                  <c:v>38000</c:v>
                </c:pt>
                <c:pt idx="138">
                  <c:v>39000</c:v>
                </c:pt>
                <c:pt idx="139">
                  <c:v>40000</c:v>
                </c:pt>
                <c:pt idx="140">
                  <c:v>41000</c:v>
                </c:pt>
                <c:pt idx="141">
                  <c:v>42000</c:v>
                </c:pt>
                <c:pt idx="142">
                  <c:v>43000</c:v>
                </c:pt>
                <c:pt idx="143">
                  <c:v>44000</c:v>
                </c:pt>
                <c:pt idx="144">
                  <c:v>45000</c:v>
                </c:pt>
                <c:pt idx="145">
                  <c:v>46000</c:v>
                </c:pt>
                <c:pt idx="146">
                  <c:v>47000</c:v>
                </c:pt>
                <c:pt idx="147">
                  <c:v>48000</c:v>
                </c:pt>
                <c:pt idx="148">
                  <c:v>49000</c:v>
                </c:pt>
                <c:pt idx="149">
                  <c:v>50000</c:v>
                </c:pt>
                <c:pt idx="150">
                  <c:v>51000</c:v>
                </c:pt>
                <c:pt idx="151">
                  <c:v>52000</c:v>
                </c:pt>
                <c:pt idx="152">
                  <c:v>53000</c:v>
                </c:pt>
                <c:pt idx="153">
                  <c:v>54000</c:v>
                </c:pt>
                <c:pt idx="154">
                  <c:v>55000</c:v>
                </c:pt>
                <c:pt idx="155">
                  <c:v>56000</c:v>
                </c:pt>
                <c:pt idx="156">
                  <c:v>57000</c:v>
                </c:pt>
                <c:pt idx="157">
                  <c:v>58000</c:v>
                </c:pt>
                <c:pt idx="158">
                  <c:v>59000</c:v>
                </c:pt>
                <c:pt idx="159">
                  <c:v>60000</c:v>
                </c:pt>
                <c:pt idx="160">
                  <c:v>61000</c:v>
                </c:pt>
                <c:pt idx="161">
                  <c:v>62000</c:v>
                </c:pt>
                <c:pt idx="162">
                  <c:v>63000</c:v>
                </c:pt>
                <c:pt idx="163">
                  <c:v>64000</c:v>
                </c:pt>
                <c:pt idx="164">
                  <c:v>65000</c:v>
                </c:pt>
                <c:pt idx="165">
                  <c:v>66000</c:v>
                </c:pt>
                <c:pt idx="166">
                  <c:v>67000</c:v>
                </c:pt>
                <c:pt idx="167">
                  <c:v>68000</c:v>
                </c:pt>
                <c:pt idx="168">
                  <c:v>69000</c:v>
                </c:pt>
                <c:pt idx="169">
                  <c:v>70000</c:v>
                </c:pt>
                <c:pt idx="170">
                  <c:v>71000</c:v>
                </c:pt>
                <c:pt idx="171">
                  <c:v>72000</c:v>
                </c:pt>
                <c:pt idx="172">
                  <c:v>73000</c:v>
                </c:pt>
                <c:pt idx="173">
                  <c:v>74000</c:v>
                </c:pt>
                <c:pt idx="174">
                  <c:v>75000</c:v>
                </c:pt>
                <c:pt idx="175">
                  <c:v>76000</c:v>
                </c:pt>
                <c:pt idx="176">
                  <c:v>77000</c:v>
                </c:pt>
                <c:pt idx="177">
                  <c:v>78000</c:v>
                </c:pt>
                <c:pt idx="178">
                  <c:v>79000</c:v>
                </c:pt>
                <c:pt idx="179">
                  <c:v>80000</c:v>
                </c:pt>
                <c:pt idx="180">
                  <c:v>81000</c:v>
                </c:pt>
                <c:pt idx="181">
                  <c:v>82000</c:v>
                </c:pt>
                <c:pt idx="182">
                  <c:v>83000</c:v>
                </c:pt>
                <c:pt idx="183">
                  <c:v>84000</c:v>
                </c:pt>
                <c:pt idx="184">
                  <c:v>85000</c:v>
                </c:pt>
                <c:pt idx="185">
                  <c:v>86000</c:v>
                </c:pt>
                <c:pt idx="186">
                  <c:v>87000</c:v>
                </c:pt>
                <c:pt idx="187">
                  <c:v>88000</c:v>
                </c:pt>
                <c:pt idx="188">
                  <c:v>89000</c:v>
                </c:pt>
                <c:pt idx="189">
                  <c:v>90000</c:v>
                </c:pt>
                <c:pt idx="190">
                  <c:v>91000</c:v>
                </c:pt>
                <c:pt idx="191">
                  <c:v>92000</c:v>
                </c:pt>
                <c:pt idx="192">
                  <c:v>93000</c:v>
                </c:pt>
                <c:pt idx="193">
                  <c:v>94000</c:v>
                </c:pt>
                <c:pt idx="194">
                  <c:v>95000</c:v>
                </c:pt>
                <c:pt idx="195">
                  <c:v>96000</c:v>
                </c:pt>
                <c:pt idx="196">
                  <c:v>97000</c:v>
                </c:pt>
                <c:pt idx="197">
                  <c:v>98000</c:v>
                </c:pt>
                <c:pt idx="198">
                  <c:v>99000</c:v>
                </c:pt>
                <c:pt idx="199">
                  <c:v>100000</c:v>
                </c:pt>
                <c:pt idx="200">
                  <c:v>110000</c:v>
                </c:pt>
                <c:pt idx="201">
                  <c:v>120000</c:v>
                </c:pt>
                <c:pt idx="202">
                  <c:v>130000</c:v>
                </c:pt>
                <c:pt idx="203">
                  <c:v>140000</c:v>
                </c:pt>
                <c:pt idx="204">
                  <c:v>150000</c:v>
                </c:pt>
                <c:pt idx="205">
                  <c:v>160000</c:v>
                </c:pt>
                <c:pt idx="206">
                  <c:v>170000</c:v>
                </c:pt>
                <c:pt idx="207">
                  <c:v>180000</c:v>
                </c:pt>
                <c:pt idx="208">
                  <c:v>190000</c:v>
                </c:pt>
                <c:pt idx="209">
                  <c:v>200000</c:v>
                </c:pt>
                <c:pt idx="210">
                  <c:v>210000</c:v>
                </c:pt>
                <c:pt idx="211">
                  <c:v>220000</c:v>
                </c:pt>
                <c:pt idx="212">
                  <c:v>230000</c:v>
                </c:pt>
                <c:pt idx="213">
                  <c:v>240000</c:v>
                </c:pt>
                <c:pt idx="214">
                  <c:v>250000</c:v>
                </c:pt>
                <c:pt idx="215">
                  <c:v>260000</c:v>
                </c:pt>
                <c:pt idx="216">
                  <c:v>270000</c:v>
                </c:pt>
                <c:pt idx="217">
                  <c:v>280000</c:v>
                </c:pt>
                <c:pt idx="218">
                  <c:v>290000</c:v>
                </c:pt>
                <c:pt idx="219">
                  <c:v>300000</c:v>
                </c:pt>
                <c:pt idx="220">
                  <c:v>310000</c:v>
                </c:pt>
                <c:pt idx="221">
                  <c:v>320000</c:v>
                </c:pt>
                <c:pt idx="222">
                  <c:v>330000</c:v>
                </c:pt>
                <c:pt idx="223">
                  <c:v>340000</c:v>
                </c:pt>
                <c:pt idx="224">
                  <c:v>350000</c:v>
                </c:pt>
                <c:pt idx="225">
                  <c:v>360000</c:v>
                </c:pt>
                <c:pt idx="226">
                  <c:v>370000</c:v>
                </c:pt>
                <c:pt idx="227">
                  <c:v>380000</c:v>
                </c:pt>
                <c:pt idx="228">
                  <c:v>390000</c:v>
                </c:pt>
                <c:pt idx="229">
                  <c:v>400000</c:v>
                </c:pt>
                <c:pt idx="230">
                  <c:v>410000</c:v>
                </c:pt>
                <c:pt idx="231">
                  <c:v>420000</c:v>
                </c:pt>
                <c:pt idx="232">
                  <c:v>430000</c:v>
                </c:pt>
                <c:pt idx="233">
                  <c:v>440000</c:v>
                </c:pt>
                <c:pt idx="234">
                  <c:v>450000</c:v>
                </c:pt>
                <c:pt idx="235">
                  <c:v>460000</c:v>
                </c:pt>
                <c:pt idx="236">
                  <c:v>470000</c:v>
                </c:pt>
                <c:pt idx="237">
                  <c:v>480000</c:v>
                </c:pt>
                <c:pt idx="238">
                  <c:v>490000</c:v>
                </c:pt>
                <c:pt idx="239">
                  <c:v>500000</c:v>
                </c:pt>
                <c:pt idx="240">
                  <c:v>510000</c:v>
                </c:pt>
                <c:pt idx="241">
                  <c:v>520000</c:v>
                </c:pt>
                <c:pt idx="242">
                  <c:v>530000</c:v>
                </c:pt>
                <c:pt idx="243">
                  <c:v>540000</c:v>
                </c:pt>
                <c:pt idx="244">
                  <c:v>550000</c:v>
                </c:pt>
                <c:pt idx="245">
                  <c:v>560000</c:v>
                </c:pt>
                <c:pt idx="246">
                  <c:v>570000</c:v>
                </c:pt>
                <c:pt idx="247">
                  <c:v>580000</c:v>
                </c:pt>
                <c:pt idx="248">
                  <c:v>590000</c:v>
                </c:pt>
                <c:pt idx="249">
                  <c:v>600000</c:v>
                </c:pt>
                <c:pt idx="250">
                  <c:v>610000</c:v>
                </c:pt>
                <c:pt idx="251">
                  <c:v>620000</c:v>
                </c:pt>
                <c:pt idx="252">
                  <c:v>630000</c:v>
                </c:pt>
                <c:pt idx="253">
                  <c:v>640000</c:v>
                </c:pt>
                <c:pt idx="254">
                  <c:v>650000</c:v>
                </c:pt>
                <c:pt idx="255">
                  <c:v>660000</c:v>
                </c:pt>
                <c:pt idx="256">
                  <c:v>670000</c:v>
                </c:pt>
                <c:pt idx="257">
                  <c:v>680000</c:v>
                </c:pt>
                <c:pt idx="258">
                  <c:v>690000</c:v>
                </c:pt>
                <c:pt idx="259">
                  <c:v>700000</c:v>
                </c:pt>
                <c:pt idx="260">
                  <c:v>710000</c:v>
                </c:pt>
                <c:pt idx="261">
                  <c:v>720000</c:v>
                </c:pt>
                <c:pt idx="262">
                  <c:v>730000</c:v>
                </c:pt>
                <c:pt idx="263">
                  <c:v>740000</c:v>
                </c:pt>
                <c:pt idx="264">
                  <c:v>750000</c:v>
                </c:pt>
                <c:pt idx="265">
                  <c:v>760000</c:v>
                </c:pt>
                <c:pt idx="266">
                  <c:v>770000</c:v>
                </c:pt>
                <c:pt idx="267">
                  <c:v>780000</c:v>
                </c:pt>
                <c:pt idx="268">
                  <c:v>790000</c:v>
                </c:pt>
                <c:pt idx="269">
                  <c:v>800000</c:v>
                </c:pt>
                <c:pt idx="270">
                  <c:v>810000</c:v>
                </c:pt>
                <c:pt idx="271">
                  <c:v>820000</c:v>
                </c:pt>
                <c:pt idx="272">
                  <c:v>830000</c:v>
                </c:pt>
                <c:pt idx="273">
                  <c:v>840000</c:v>
                </c:pt>
                <c:pt idx="274">
                  <c:v>850000</c:v>
                </c:pt>
                <c:pt idx="275">
                  <c:v>860000</c:v>
                </c:pt>
                <c:pt idx="276">
                  <c:v>870000</c:v>
                </c:pt>
                <c:pt idx="277">
                  <c:v>880000</c:v>
                </c:pt>
                <c:pt idx="278">
                  <c:v>890000</c:v>
                </c:pt>
                <c:pt idx="279">
                  <c:v>900000</c:v>
                </c:pt>
                <c:pt idx="280">
                  <c:v>910000</c:v>
                </c:pt>
                <c:pt idx="281">
                  <c:v>920000</c:v>
                </c:pt>
                <c:pt idx="282">
                  <c:v>930000</c:v>
                </c:pt>
                <c:pt idx="283">
                  <c:v>940000</c:v>
                </c:pt>
                <c:pt idx="284">
                  <c:v>950000</c:v>
                </c:pt>
                <c:pt idx="285">
                  <c:v>960000</c:v>
                </c:pt>
                <c:pt idx="286">
                  <c:v>970000</c:v>
                </c:pt>
                <c:pt idx="287">
                  <c:v>980000</c:v>
                </c:pt>
                <c:pt idx="288">
                  <c:v>990000</c:v>
                </c:pt>
                <c:pt idx="289">
                  <c:v>1000000</c:v>
                </c:pt>
                <c:pt idx="290">
                  <c:v>1100000</c:v>
                </c:pt>
                <c:pt idx="291">
                  <c:v>1200000</c:v>
                </c:pt>
                <c:pt idx="292">
                  <c:v>1300000</c:v>
                </c:pt>
                <c:pt idx="293">
                  <c:v>1400000</c:v>
                </c:pt>
                <c:pt idx="294">
                  <c:v>1500000</c:v>
                </c:pt>
                <c:pt idx="295">
                  <c:v>1600000</c:v>
                </c:pt>
                <c:pt idx="296">
                  <c:v>1700000</c:v>
                </c:pt>
                <c:pt idx="297">
                  <c:v>1800000</c:v>
                </c:pt>
                <c:pt idx="298">
                  <c:v>1900000</c:v>
                </c:pt>
                <c:pt idx="299">
                  <c:v>2000000</c:v>
                </c:pt>
                <c:pt idx="300">
                  <c:v>2100000</c:v>
                </c:pt>
                <c:pt idx="301">
                  <c:v>2200000</c:v>
                </c:pt>
                <c:pt idx="302">
                  <c:v>2300000</c:v>
                </c:pt>
                <c:pt idx="303">
                  <c:v>2400000</c:v>
                </c:pt>
                <c:pt idx="304">
                  <c:v>2500000</c:v>
                </c:pt>
                <c:pt idx="305">
                  <c:v>2600000</c:v>
                </c:pt>
                <c:pt idx="306">
                  <c:v>2700000</c:v>
                </c:pt>
                <c:pt idx="307">
                  <c:v>2800000</c:v>
                </c:pt>
                <c:pt idx="308">
                  <c:v>2900000</c:v>
                </c:pt>
                <c:pt idx="309">
                  <c:v>3000000</c:v>
                </c:pt>
                <c:pt idx="310">
                  <c:v>3100000</c:v>
                </c:pt>
                <c:pt idx="311">
                  <c:v>3200000</c:v>
                </c:pt>
                <c:pt idx="312">
                  <c:v>3300000</c:v>
                </c:pt>
                <c:pt idx="313">
                  <c:v>3400000</c:v>
                </c:pt>
                <c:pt idx="314">
                  <c:v>3500000</c:v>
                </c:pt>
                <c:pt idx="315">
                  <c:v>3600000</c:v>
                </c:pt>
                <c:pt idx="316">
                  <c:v>3700000</c:v>
                </c:pt>
                <c:pt idx="317">
                  <c:v>3800000</c:v>
                </c:pt>
                <c:pt idx="318">
                  <c:v>3900000</c:v>
                </c:pt>
                <c:pt idx="319">
                  <c:v>4000000</c:v>
                </c:pt>
                <c:pt idx="320">
                  <c:v>4100000</c:v>
                </c:pt>
                <c:pt idx="321">
                  <c:v>4200000</c:v>
                </c:pt>
                <c:pt idx="322">
                  <c:v>4300000</c:v>
                </c:pt>
                <c:pt idx="323">
                  <c:v>4400000</c:v>
                </c:pt>
                <c:pt idx="324">
                  <c:v>4500000</c:v>
                </c:pt>
                <c:pt idx="325">
                  <c:v>4600000</c:v>
                </c:pt>
                <c:pt idx="326">
                  <c:v>4700000</c:v>
                </c:pt>
                <c:pt idx="327">
                  <c:v>4800000</c:v>
                </c:pt>
                <c:pt idx="328">
                  <c:v>4900000</c:v>
                </c:pt>
                <c:pt idx="329">
                  <c:v>5000000</c:v>
                </c:pt>
                <c:pt idx="330">
                  <c:v>5100000</c:v>
                </c:pt>
                <c:pt idx="331">
                  <c:v>5200000</c:v>
                </c:pt>
                <c:pt idx="332">
                  <c:v>5300000</c:v>
                </c:pt>
                <c:pt idx="333">
                  <c:v>5400000</c:v>
                </c:pt>
                <c:pt idx="334">
                  <c:v>5500000</c:v>
                </c:pt>
                <c:pt idx="335">
                  <c:v>5600000</c:v>
                </c:pt>
                <c:pt idx="336">
                  <c:v>5700000</c:v>
                </c:pt>
                <c:pt idx="337">
                  <c:v>5800000</c:v>
                </c:pt>
                <c:pt idx="338">
                  <c:v>5900000</c:v>
                </c:pt>
                <c:pt idx="339">
                  <c:v>6000000</c:v>
                </c:pt>
                <c:pt idx="340">
                  <c:v>6100000</c:v>
                </c:pt>
                <c:pt idx="341">
                  <c:v>6200000</c:v>
                </c:pt>
                <c:pt idx="342">
                  <c:v>6300000</c:v>
                </c:pt>
                <c:pt idx="343">
                  <c:v>6400000</c:v>
                </c:pt>
                <c:pt idx="344">
                  <c:v>6500000</c:v>
                </c:pt>
                <c:pt idx="345">
                  <c:v>6600000</c:v>
                </c:pt>
                <c:pt idx="346">
                  <c:v>6700000</c:v>
                </c:pt>
                <c:pt idx="347">
                  <c:v>6800000</c:v>
                </c:pt>
                <c:pt idx="348">
                  <c:v>6900000</c:v>
                </c:pt>
                <c:pt idx="349">
                  <c:v>7000000</c:v>
                </c:pt>
                <c:pt idx="350">
                  <c:v>7100000</c:v>
                </c:pt>
                <c:pt idx="351">
                  <c:v>7200000</c:v>
                </c:pt>
                <c:pt idx="352">
                  <c:v>7300000</c:v>
                </c:pt>
                <c:pt idx="353">
                  <c:v>7400000</c:v>
                </c:pt>
                <c:pt idx="354">
                  <c:v>7500000</c:v>
                </c:pt>
                <c:pt idx="355">
                  <c:v>7600000</c:v>
                </c:pt>
                <c:pt idx="356">
                  <c:v>7700000</c:v>
                </c:pt>
                <c:pt idx="357">
                  <c:v>7800000</c:v>
                </c:pt>
                <c:pt idx="358">
                  <c:v>7900000</c:v>
                </c:pt>
                <c:pt idx="359">
                  <c:v>8000000</c:v>
                </c:pt>
                <c:pt idx="360">
                  <c:v>8100000</c:v>
                </c:pt>
                <c:pt idx="361">
                  <c:v>8200000</c:v>
                </c:pt>
                <c:pt idx="362">
                  <c:v>8300000</c:v>
                </c:pt>
                <c:pt idx="363">
                  <c:v>8400000</c:v>
                </c:pt>
                <c:pt idx="364">
                  <c:v>8500000</c:v>
                </c:pt>
                <c:pt idx="365">
                  <c:v>8600000</c:v>
                </c:pt>
                <c:pt idx="366">
                  <c:v>8700000</c:v>
                </c:pt>
                <c:pt idx="367">
                  <c:v>8800000</c:v>
                </c:pt>
                <c:pt idx="368">
                  <c:v>8900000</c:v>
                </c:pt>
                <c:pt idx="369">
                  <c:v>9000000</c:v>
                </c:pt>
                <c:pt idx="370">
                  <c:v>9100000</c:v>
                </c:pt>
                <c:pt idx="371">
                  <c:v>9200000</c:v>
                </c:pt>
                <c:pt idx="372">
                  <c:v>9300000</c:v>
                </c:pt>
                <c:pt idx="373">
                  <c:v>9400000</c:v>
                </c:pt>
                <c:pt idx="374">
                  <c:v>9500000</c:v>
                </c:pt>
                <c:pt idx="375">
                  <c:v>9600000</c:v>
                </c:pt>
                <c:pt idx="376">
                  <c:v>9700000</c:v>
                </c:pt>
                <c:pt idx="377">
                  <c:v>9800000</c:v>
                </c:pt>
                <c:pt idx="378">
                  <c:v>9900000</c:v>
                </c:pt>
                <c:pt idx="379">
                  <c:v>10000000</c:v>
                </c:pt>
              </c:numCache>
            </c:numRef>
          </c:xVal>
          <c:yVal>
            <c:numRef>
              <c:f>'Loop Gain'!$Q$2:$Q$381</c:f>
              <c:numCache>
                <c:formatCode>General</c:formatCode>
                <c:ptCount val="380"/>
                <c:pt idx="0">
                  <c:v>29.791611581447583</c:v>
                </c:pt>
                <c:pt idx="1">
                  <c:v>29.7836492661527</c:v>
                </c:pt>
                <c:pt idx="2">
                  <c:v>29.759609799117747</c:v>
                </c:pt>
                <c:pt idx="3">
                  <c:v>29.719837380649299</c:v>
                </c:pt>
                <c:pt idx="4">
                  <c:v>29.664760902940554</c:v>
                </c:pt>
                <c:pt idx="5">
                  <c:v>29.594959378182022</c:v>
                </c:pt>
                <c:pt idx="6">
                  <c:v>29.511142394650882</c:v>
                </c:pt>
                <c:pt idx="7">
                  <c:v>29.414127430725223</c:v>
                </c:pt>
                <c:pt idx="8">
                  <c:v>29.304815451473964</c:v>
                </c:pt>
                <c:pt idx="9">
                  <c:v>29.184166167632526</c:v>
                </c:pt>
                <c:pt idx="10">
                  <c:v>29.053174175708371</c:v>
                </c:pt>
                <c:pt idx="11">
                  <c:v>27.382569750546708</c:v>
                </c:pt>
                <c:pt idx="12">
                  <c:v>25.529399084415722</c:v>
                </c:pt>
                <c:pt idx="13">
                  <c:v>23.808392637439493</c:v>
                </c:pt>
                <c:pt idx="14">
                  <c:v>22.283509834191285</c:v>
                </c:pt>
                <c:pt idx="15">
                  <c:v>20.942080244496374</c:v>
                </c:pt>
                <c:pt idx="16">
                  <c:v>19.756006919291394</c:v>
                </c:pt>
                <c:pt idx="17">
                  <c:v>18.69836113778813</c:v>
                </c:pt>
                <c:pt idx="18">
                  <c:v>17.746810958422557</c:v>
                </c:pt>
                <c:pt idx="19">
                  <c:v>16.883558568912768</c:v>
                </c:pt>
                <c:pt idx="20">
                  <c:v>16.09452855413166</c:v>
                </c:pt>
                <c:pt idx="21">
                  <c:v>15.368542799613953</c:v>
                </c:pt>
                <c:pt idx="22">
                  <c:v>14.696646039952173</c:v>
                </c:pt>
                <c:pt idx="23">
                  <c:v>14.07158930464168</c:v>
                </c:pt>
                <c:pt idx="24">
                  <c:v>13.48744231718932</c:v>
                </c:pt>
                <c:pt idx="25">
                  <c:v>12.939303543347771</c:v>
                </c:pt>
                <c:pt idx="26">
                  <c:v>12.423082288025268</c:v>
                </c:pt>
                <c:pt idx="27">
                  <c:v>11.935333611508561</c:v>
                </c:pt>
                <c:pt idx="28">
                  <c:v>11.47313206124185</c:v>
                </c:pt>
                <c:pt idx="29">
                  <c:v>11.033974117892487</c:v>
                </c:pt>
                <c:pt idx="30">
                  <c:v>10.615702067201756</c:v>
                </c:pt>
                <c:pt idx="31">
                  <c:v>10.216444011384546</c:v>
                </c:pt>
                <c:pt idx="32">
                  <c:v>9.8345661567355087</c:v>
                </c:pt>
                <c:pt idx="33">
                  <c:v>9.4686345290592779</c:v>
                </c:pt>
                <c:pt idx="34">
                  <c:v>9.1173839973052786</c:v>
                </c:pt>
                <c:pt idx="35">
                  <c:v>8.779693013284577</c:v>
                </c:pt>
                <c:pt idx="36">
                  <c:v>8.4545628605077301</c:v>
                </c:pt>
                <c:pt idx="37">
                  <c:v>8.141100488968501</c:v>
                </c:pt>
                <c:pt idx="38">
                  <c:v>7.8385042236552955</c:v>
                </c:pt>
                <c:pt idx="39">
                  <c:v>7.5460517927973738</c:v>
                </c:pt>
                <c:pt idx="40">
                  <c:v>7.2630902415310157</c:v>
                </c:pt>
                <c:pt idx="41">
                  <c:v>6.98902738795117</c:v>
                </c:pt>
                <c:pt idx="42">
                  <c:v>6.7233245486748441</c:v>
                </c:pt>
                <c:pt idx="43">
                  <c:v>6.4654903153985464</c:v>
                </c:pt>
                <c:pt idx="44">
                  <c:v>6.2150752063289243</c:v>
                </c:pt>
                <c:pt idx="45">
                  <c:v>5.9716670496738882</c:v>
                </c:pt>
                <c:pt idx="46">
                  <c:v>5.7348869827251026</c:v>
                </c:pt>
                <c:pt idx="47">
                  <c:v>5.5043859710174967</c:v>
                </c:pt>
                <c:pt idx="48">
                  <c:v>5.2798417688297192</c:v>
                </c:pt>
                <c:pt idx="49">
                  <c:v>5.0609562557977377</c:v>
                </c:pt>
                <c:pt idx="50">
                  <c:v>4.8474530953445649</c:v>
                </c:pt>
                <c:pt idx="51">
                  <c:v>4.6390756695275117</c:v>
                </c:pt>
                <c:pt idx="52">
                  <c:v>4.4355852521776491</c:v>
                </c:pt>
                <c:pt idx="53">
                  <c:v>4.2367593881826444</c:v>
                </c:pt>
                <c:pt idx="54">
                  <c:v>4.0423904516989975</c:v>
                </c:pt>
                <c:pt idx="55">
                  <c:v>3.8522843601668617</c:v>
                </c:pt>
                <c:pt idx="56">
                  <c:v>3.6662594244057907</c:v>
                </c:pt>
                <c:pt idx="57">
                  <c:v>3.4841453179129318</c:v>
                </c:pt>
                <c:pt idx="58">
                  <c:v>3.3057821508743936</c:v>
                </c:pt>
                <c:pt idx="59">
                  <c:v>3.13101963640664</c:v>
                </c:pt>
                <c:pt idx="60">
                  <c:v>2.9597163382442728</c:v>
                </c:pt>
                <c:pt idx="61">
                  <c:v>2.7917389905313428</c:v>
                </c:pt>
                <c:pt idx="62">
                  <c:v>2.6269618815956539</c:v>
                </c:pt>
                <c:pt idx="63">
                  <c:v>2.4652662946310815</c:v>
                </c:pt>
                <c:pt idx="64">
                  <c:v>2.3065399991089768</c:v>
                </c:pt>
                <c:pt idx="65">
                  <c:v>2.1506767875049486</c:v>
                </c:pt>
                <c:pt idx="66">
                  <c:v>1.9975760525890132</c:v>
                </c:pt>
                <c:pt idx="67">
                  <c:v>1.8471424010988899</c:v>
                </c:pt>
                <c:pt idx="68">
                  <c:v>1.6992853001065411</c:v>
                </c:pt>
                <c:pt idx="69">
                  <c:v>1.5539187528202554</c:v>
                </c:pt>
                <c:pt idx="70">
                  <c:v>1.4109610009334583</c:v>
                </c:pt>
                <c:pt idx="71">
                  <c:v>1.2703342509576223</c:v>
                </c:pt>
                <c:pt idx="72">
                  <c:v>1.1319644222613072</c:v>
                </c:pt>
                <c:pt idx="73">
                  <c:v>0.99578091478324993</c:v>
                </c:pt>
                <c:pt idx="74">
                  <c:v>0.86171639460728033</c:v>
                </c:pt>
                <c:pt idx="75">
                  <c:v>0.7297065957782698</c:v>
                </c:pt>
                <c:pt idx="76">
                  <c:v>0.5996901369062182</c:v>
                </c:pt>
                <c:pt idx="77">
                  <c:v>0.47160835125619555</c:v>
                </c:pt>
                <c:pt idx="78">
                  <c:v>0.34540512915144361</c:v>
                </c:pt>
                <c:pt idx="79">
                  <c:v>0.22102677163731102</c:v>
                </c:pt>
                <c:pt idx="80">
                  <c:v>9.8421854453115576E-2</c:v>
                </c:pt>
                <c:pt idx="81">
                  <c:v>-2.2458898545291813E-2</c:v>
                </c:pt>
                <c:pt idx="82">
                  <c:v>-0.14166273328780482</c:v>
                </c:pt>
                <c:pt idx="83">
                  <c:v>-0.25923497542241225</c:v>
                </c:pt>
                <c:pt idx="84">
                  <c:v>-0.37521913291271336</c:v>
                </c:pt>
                <c:pt idx="85">
                  <c:v>-0.48965699188083905</c:v>
                </c:pt>
                <c:pt idx="86">
                  <c:v>-0.6025887062215799</c:v>
                </c:pt>
                <c:pt idx="87">
                  <c:v>-0.71405288146670576</c:v>
                </c:pt>
                <c:pt idx="88">
                  <c:v>-0.82408665333647191</c:v>
                </c:pt>
                <c:pt idx="89">
                  <c:v>-0.93272576137648266</c:v>
                </c:pt>
                <c:pt idx="90">
                  <c:v>-1.0400046180443532</c:v>
                </c:pt>
                <c:pt idx="91">
                  <c:v>-1.1459563735787832</c:v>
                </c:pt>
                <c:pt idx="92">
                  <c:v>-1.2506129769565133</c:v>
                </c:pt>
                <c:pt idx="93">
                  <c:v>-1.3540052332161658</c:v>
                </c:pt>
                <c:pt idx="94">
                  <c:v>-1.4561628574059093</c:v>
                </c:pt>
                <c:pt idx="95">
                  <c:v>-1.5571145253907168</c:v>
                </c:pt>
                <c:pt idx="96">
                  <c:v>-1.6568879217353478</c:v>
                </c:pt>
                <c:pt idx="97">
                  <c:v>-1.7555097848630765</c:v>
                </c:pt>
                <c:pt idx="98">
                  <c:v>-1.8530059496740163</c:v>
                </c:pt>
                <c:pt idx="99">
                  <c:v>-1.9494013877919738</c:v>
                </c:pt>
                <c:pt idx="100">
                  <c:v>-2.0447202455967703</c:v>
                </c:pt>
                <c:pt idx="101">
                  <c:v>-2.1389858801864796</c:v>
                </c:pt>
                <c:pt idx="102">
                  <c:v>-2.2322208934031105</c:v>
                </c:pt>
                <c:pt idx="103">
                  <c:v>-2.3244471640458007</c:v>
                </c:pt>
                <c:pt idx="104">
                  <c:v>-2.4156858783854243</c:v>
                </c:pt>
                <c:pt idx="105">
                  <c:v>-2.5059575590878405</c:v>
                </c:pt>
                <c:pt idx="106">
                  <c:v>-2.5952820926433211</c:v>
                </c:pt>
                <c:pt idx="107">
                  <c:v>-2.6836787553944856</c:v>
                </c:pt>
                <c:pt idx="108">
                  <c:v>-2.7711662382472939</c:v>
                </c:pt>
                <c:pt idx="109">
                  <c:v>-2.8577626701445942</c:v>
                </c:pt>
                <c:pt idx="110">
                  <c:v>-3.678347330768486</c:v>
                </c:pt>
                <c:pt idx="111">
                  <c:v>-4.4263331090120133</c:v>
                </c:pt>
                <c:pt idx="112">
                  <c:v>-5.1132550668507459</c:v>
                </c:pt>
                <c:pt idx="113">
                  <c:v>-5.7480860922253374</c:v>
                </c:pt>
                <c:pt idx="114">
                  <c:v>-6.3379444244162855</c:v>
                </c:pt>
                <c:pt idx="115">
                  <c:v>-6.8885727311107745</c:v>
                </c:pt>
                <c:pt idx="116">
                  <c:v>-7.4046718849632862</c:v>
                </c:pt>
                <c:pt idx="117">
                  <c:v>-7.8901392968700836</c:v>
                </c:pt>
                <c:pt idx="118">
                  <c:v>-8.348242782561929</c:v>
                </c:pt>
                <c:pt idx="119">
                  <c:v>-8.7817498111080674</c:v>
                </c:pt>
                <c:pt idx="120">
                  <c:v>-9.1930252019148249</c:v>
                </c:pt>
                <c:pt idx="121">
                  <c:v>-9.58410608008802</c:v>
                </c:pt>
                <c:pt idx="122">
                  <c:v>-9.9567601577590317</c:v>
                </c:pt>
                <c:pt idx="123">
                  <c:v>-10.312531600775671</c:v>
                </c:pt>
                <c:pt idx="124">
                  <c:v>-10.652777522692059</c:v>
                </c:pt>
                <c:pt idx="125">
                  <c:v>-10.978697312650944</c:v>
                </c:pt>
                <c:pt idx="126">
                  <c:v>-11.291356420698172</c:v>
                </c:pt>
                <c:pt idx="127">
                  <c:v>-11.591705810684349</c:v>
                </c:pt>
                <c:pt idx="128">
                  <c:v>-11.88059799360915</c:v>
                </c:pt>
                <c:pt idx="129">
                  <c:v>-12.158800337601965</c:v>
                </c:pt>
                <c:pt idx="130">
                  <c:v>-12.427006190915904</c:v>
                </c:pt>
                <c:pt idx="131">
                  <c:v>-12.685844235089728</c:v>
                </c:pt>
                <c:pt idx="132">
                  <c:v>-12.935886395563452</c:v>
                </c:pt>
                <c:pt idx="133">
                  <c:v>-13.177654568621133</c:v>
                </c:pt>
                <c:pt idx="134">
                  <c:v>-13.411626370991094</c:v>
                </c:pt>
                <c:pt idx="135">
                  <c:v>-13.638240077730295</c:v>
                </c:pt>
                <c:pt idx="136">
                  <c:v>-13.857898882231581</c:v>
                </c:pt>
                <c:pt idx="137">
                  <c:v>-14.070974587192588</c:v>
                </c:pt>
                <c:pt idx="138">
                  <c:v>-14.277810815571669</c:v>
                </c:pt>
                <c:pt idx="139">
                  <c:v>-14.47872581476058</c:v>
                </c:pt>
                <c:pt idx="140">
                  <c:v>-14.674014914523397</c:v>
                </c:pt>
                <c:pt idx="141">
                  <c:v>-14.863952689017628</c:v>
                </c:pt>
                <c:pt idx="142">
                  <c:v>-15.0487948649046</c:v>
                </c:pt>
                <c:pt idx="143">
                  <c:v>-15.228780010775388</c:v>
                </c:pt>
                <c:pt idx="144">
                  <c:v>-15.40413103755883</c:v>
                </c:pt>
                <c:pt idx="145">
                  <c:v>-15.575056534992047</c:v>
                </c:pt>
                <c:pt idx="146">
                  <c:v>-15.741751965442738</c:v>
                </c:pt>
                <c:pt idx="147">
                  <c:v>-15.904400733216653</c:v>
                </c:pt>
                <c:pt idx="148">
                  <c:v>-16.063175144848579</c:v>
                </c:pt>
                <c:pt idx="149">
                  <c:v>-16.218237273670624</c:v>
                </c:pt>
                <c:pt idx="150">
                  <c:v>-16.36973974009323</c:v>
                </c:pt>
                <c:pt idx="151">
                  <c:v>-16.517826417466441</c:v>
                </c:pt>
                <c:pt idx="152">
                  <c:v>-16.662633072062217</c:v>
                </c:pt>
                <c:pt idx="153">
                  <c:v>-16.804287944590094</c:v>
                </c:pt>
                <c:pt idx="154">
                  <c:v>-16.942912279695388</c:v>
                </c:pt>
                <c:pt idx="155">
                  <c:v>-17.078620809068255</c:v>
                </c:pt>
                <c:pt idx="156">
                  <c:v>-17.211522193085646</c:v>
                </c:pt>
                <c:pt idx="157">
                  <c:v>-17.341719425302877</c:v>
                </c:pt>
                <c:pt idx="158">
                  <c:v>-17.469310203587966</c:v>
                </c:pt>
                <c:pt idx="159">
                  <c:v>-17.594387271240581</c:v>
                </c:pt>
                <c:pt idx="160">
                  <c:v>-17.717038731047111</c:v>
                </c:pt>
                <c:pt idx="161">
                  <c:v>-17.837348334882233</c:v>
                </c:pt>
                <c:pt idx="162">
                  <c:v>-17.955395751172549</c:v>
                </c:pt>
                <c:pt idx="163">
                  <c:v>-18.071256812279547</c:v>
                </c:pt>
                <c:pt idx="164">
                  <c:v>-18.185003743634724</c:v>
                </c:pt>
                <c:pt idx="165">
                  <c:v>-18.296705376260523</c:v>
                </c:pt>
                <c:pt idx="166">
                  <c:v>-18.406427344138894</c:v>
                </c:pt>
                <c:pt idx="167">
                  <c:v>-18.514232267737111</c:v>
                </c:pt>
                <c:pt idx="168">
                  <c:v>-18.620179924864384</c:v>
                </c:pt>
                <c:pt idx="169">
                  <c:v>-18.724327409916043</c:v>
                </c:pt>
                <c:pt idx="170">
                  <c:v>-18.826729282457237</c:v>
                </c:pt>
                <c:pt idx="171">
                  <c:v>-18.927437706003541</c:v>
                </c:pt>
                <c:pt idx="172">
                  <c:v>-19.026502577775375</c:v>
                </c:pt>
                <c:pt idx="173">
                  <c:v>-19.123971650128738</c:v>
                </c:pt>
                <c:pt idx="174">
                  <c:v>-19.219890644299618</c:v>
                </c:pt>
                <c:pt idx="175">
                  <c:v>-19.314303357041268</c:v>
                </c:pt>
                <c:pt idx="176">
                  <c:v>-19.407251760682161</c:v>
                </c:pt>
                <c:pt idx="177">
                  <c:v>-19.498776097083649</c:v>
                </c:pt>
                <c:pt idx="178">
                  <c:v>-19.588914965938283</c:v>
                </c:pt>
                <c:pt idx="179">
                  <c:v>-19.677705407806798</c:v>
                </c:pt>
                <c:pt idx="180">
                  <c:v>-19.765182982265017</c:v>
                </c:pt>
                <c:pt idx="181">
                  <c:v>-19.851381841493691</c:v>
                </c:pt>
                <c:pt idx="182">
                  <c:v>-19.936334799623808</c:v>
                </c:pt>
                <c:pt idx="183">
                  <c:v>-20.020073398119909</c:v>
                </c:pt>
                <c:pt idx="184">
                  <c:v>-20.102627967464151</c:v>
                </c:pt>
                <c:pt idx="185">
                  <c:v>-20.184027685383313</c:v>
                </c:pt>
                <c:pt idx="186">
                  <c:v>-20.264300631840602</c:v>
                </c:pt>
                <c:pt idx="187">
                  <c:v>-20.343473840999845</c:v>
                </c:pt>
                <c:pt idx="188">
                  <c:v>-20.421573350351917</c:v>
                </c:pt>
                <c:pt idx="189">
                  <c:v>-20.498624247180722</c:v>
                </c:pt>
                <c:pt idx="190">
                  <c:v>-20.574650712532826</c:v>
                </c:pt>
                <c:pt idx="191">
                  <c:v>-20.6496760628429</c:v>
                </c:pt>
                <c:pt idx="192">
                  <c:v>-20.723722789356685</c:v>
                </c:pt>
                <c:pt idx="193">
                  <c:v>-20.796812595483097</c:v>
                </c:pt>
                <c:pt idx="194">
                  <c:v>-20.868966432198551</c:v>
                </c:pt>
                <c:pt idx="195">
                  <c:v>-20.940204531617361</c:v>
                </c:pt>
                <c:pt idx="196">
                  <c:v>-21.010546438835437</c:v>
                </c:pt>
                <c:pt idx="197">
                  <c:v>-21.080011042146669</c:v>
                </c:pt>
                <c:pt idx="198">
                  <c:v>-21.148616601725148</c:v>
                </c:pt>
                <c:pt idx="199">
                  <c:v>-21.216380776860568</c:v>
                </c:pt>
                <c:pt idx="200">
                  <c:v>-21.851249948458538</c:v>
                </c:pt>
                <c:pt idx="201">
                  <c:v>-22.417795959047169</c:v>
                </c:pt>
                <c:pt idx="202">
                  <c:v>-22.926846968375173</c:v>
                </c:pt>
                <c:pt idx="203">
                  <c:v>-23.386709918957244</c:v>
                </c:pt>
                <c:pt idx="204">
                  <c:v>-23.803938027842598</c:v>
                </c:pt>
                <c:pt idx="205">
                  <c:v>-24.18382791576947</c:v>
                </c:pt>
                <c:pt idx="206">
                  <c:v>-24.530749618215975</c:v>
                </c:pt>
                <c:pt idx="207">
                  <c:v>-24.848371121871828</c:v>
                </c:pt>
                <c:pt idx="208">
                  <c:v>-25.139814967999339</c:v>
                </c:pt>
                <c:pt idx="209">
                  <c:v>-25.407770208190165</c:v>
                </c:pt>
                <c:pt idx="210">
                  <c:v>-25.654574412885971</c:v>
                </c:pt>
                <c:pt idx="211">
                  <c:v>-25.88227517586958</c:v>
                </c:pt>
                <c:pt idx="212">
                  <c:v>-26.092677286476615</c:v>
                </c:pt>
                <c:pt idx="213">
                  <c:v>-26.28737967324582</c:v>
                </c:pt>
                <c:pt idx="214">
                  <c:v>-26.467804895077535</c:v>
                </c:pt>
                <c:pt idx="215">
                  <c:v>-26.635223090603706</c:v>
                </c:pt>
                <c:pt idx="216">
                  <c:v>-26.790771723930664</c:v>
                </c:pt>
                <c:pt idx="217">
                  <c:v>-26.935472080484605</c:v>
                </c:pt>
                <c:pt idx="218">
                  <c:v>-27.070243204775551</c:v>
                </c:pt>
                <c:pt idx="219">
                  <c:v>-27.195913790823237</c:v>
                </c:pt>
                <c:pt idx="220">
                  <c:v>-27.313232408974081</c:v>
                </c:pt>
                <c:pt idx="221">
                  <c:v>-27.422876362406306</c:v>
                </c:pt>
                <c:pt idx="222">
                  <c:v>-27.525459401275004</c:v>
                </c:pt>
                <c:pt idx="223">
                  <c:v>-27.621538474495487</c:v>
                </c:pt>
                <c:pt idx="224">
                  <c:v>-27.711619663438142</c:v>
                </c:pt>
                <c:pt idx="225">
                  <c:v>-27.796163414777652</c:v>
                </c:pt>
                <c:pt idx="226">
                  <c:v>-27.875589168963856</c:v>
                </c:pt>
                <c:pt idx="227">
                  <c:v>-27.950279464586522</c:v>
                </c:pt>
                <c:pt idx="228">
                  <c:v>-28.020583586085813</c:v>
                </c:pt>
                <c:pt idx="229">
                  <c:v>-28.086820811977006</c:v>
                </c:pt>
                <c:pt idx="230">
                  <c:v>-28.149283312404862</c:v>
                </c:pt>
                <c:pt idx="231">
                  <c:v>-28.208238737974515</c:v>
                </c:pt>
                <c:pt idx="232">
                  <c:v>-28.263932536101109</c:v>
                </c:pt>
                <c:pt idx="233">
                  <c:v>-28.316590026336868</c:v>
                </c:pt>
                <c:pt idx="234">
                  <c:v>-28.366418262090413</c:v>
                </c:pt>
                <c:pt idx="235">
                  <c:v>-28.413607702707964</c:v>
                </c:pt>
                <c:pt idx="236">
                  <c:v>-28.458333716937233</c:v>
                </c:pt>
                <c:pt idx="237">
                  <c:v>-28.500757936252604</c:v>
                </c:pt>
                <c:pt idx="238">
                  <c:v>-28.541029474321327</c:v>
                </c:pt>
                <c:pt idx="239">
                  <c:v>-28.579286026980025</c:v>
                </c:pt>
                <c:pt idx="240">
                  <c:v>-28.615654865427874</c:v>
                </c:pt>
                <c:pt idx="241">
                  <c:v>-28.650253733885634</c:v>
                </c:pt>
                <c:pt idx="242">
                  <c:v>-28.683191661697961</c:v>
                </c:pt>
                <c:pt idx="243">
                  <c:v>-28.714569698734778</c:v>
                </c:pt>
                <c:pt idx="244">
                  <c:v>-28.744481581965459</c:v>
                </c:pt>
                <c:pt idx="245">
                  <c:v>-28.773014340210359</c:v>
                </c:pt>
                <c:pt idx="246">
                  <c:v>-28.800248843311639</c:v>
                </c:pt>
                <c:pt idx="247">
                  <c:v>-28.826260301285682</c:v>
                </c:pt>
                <c:pt idx="248">
                  <c:v>-28.851118718424718</c:v>
                </c:pt>
                <c:pt idx="249">
                  <c:v>-28.87488930678397</c:v>
                </c:pt>
                <c:pt idx="250">
                  <c:v>-28.897632863020814</c:v>
                </c:pt>
                <c:pt idx="251">
                  <c:v>-28.919406112137239</c:v>
                </c:pt>
                <c:pt idx="252">
                  <c:v>-28.940262021304385</c:v>
                </c:pt>
                <c:pt idx="253">
                  <c:v>-28.960250086621798</c:v>
                </c:pt>
                <c:pt idx="254">
                  <c:v>-28.979416595368768</c:v>
                </c:pt>
                <c:pt idx="255">
                  <c:v>-28.997804866045335</c:v>
                </c:pt>
                <c:pt idx="256">
                  <c:v>-29.015455468268097</c:v>
                </c:pt>
                <c:pt idx="257">
                  <c:v>-29.032406424378387</c:v>
                </c:pt>
                <c:pt idx="258">
                  <c:v>-29.048693394435325</c:v>
                </c:pt>
                <c:pt idx="259">
                  <c:v>-29.064349846100153</c:v>
                </c:pt>
                <c:pt idx="260">
                  <c:v>-29.079407210771699</c:v>
                </c:pt>
                <c:pt idx="261">
                  <c:v>-29.093895027198549</c:v>
                </c:pt>
                <c:pt idx="262">
                  <c:v>-29.10784107367612</c:v>
                </c:pt>
                <c:pt idx="263">
                  <c:v>-29.121271489830526</c:v>
                </c:pt>
                <c:pt idx="264">
                  <c:v>-29.134210888894579</c:v>
                </c:pt>
                <c:pt idx="265">
                  <c:v>-29.146682461296471</c:v>
                </c:pt>
                <c:pt idx="266">
                  <c:v>-29.15870807030543</c:v>
                </c:pt>
                <c:pt idx="267">
                  <c:v>-29.170308340406883</c:v>
                </c:pt>
                <c:pt idx="268">
                  <c:v>-29.181502739020438</c:v>
                </c:pt>
                <c:pt idx="269">
                  <c:v>-29.192309652116066</c:v>
                </c:pt>
                <c:pt idx="270">
                  <c:v>-29.20274645423277</c:v>
                </c:pt>
                <c:pt idx="271">
                  <c:v>-29.212829573360434</c:v>
                </c:pt>
                <c:pt idx="272">
                  <c:v>-29.22257455110303</c:v>
                </c:pt>
                <c:pt idx="273">
                  <c:v>-29.231996098503398</c:v>
                </c:pt>
                <c:pt idx="274">
                  <c:v>-29.241108147878386</c:v>
                </c:pt>
                <c:pt idx="275">
                  <c:v>-29.249923900980207</c:v>
                </c:pt>
                <c:pt idx="276">
                  <c:v>-29.258455873774395</c:v>
                </c:pt>
                <c:pt idx="277">
                  <c:v>-29.266715938098763</c:v>
                </c:pt>
                <c:pt idx="278">
                  <c:v>-29.274715360444677</c:v>
                </c:pt>
                <c:pt idx="279">
                  <c:v>-29.282464838082291</c:v>
                </c:pt>
                <c:pt idx="280">
                  <c:v>-29.289974532733055</c:v>
                </c:pt>
                <c:pt idx="281">
                  <c:v>-29.297254101974126</c:v>
                </c:pt>
                <c:pt idx="282">
                  <c:v>-29.304312728545653</c:v>
                </c:pt>
                <c:pt idx="283">
                  <c:v>-29.311159147716786</c:v>
                </c:pt>
                <c:pt idx="284">
                  <c:v>-29.31780167285477</c:v>
                </c:pt>
                <c:pt idx="285">
                  <c:v>-29.324248219327362</c:v>
                </c:pt>
                <c:pt idx="286">
                  <c:v>-29.330506326861496</c:v>
                </c:pt>
                <c:pt idx="287">
                  <c:v>-29.336583180468381</c:v>
                </c:pt>
                <c:pt idx="288">
                  <c:v>-29.34248563003856</c:v>
                </c:pt>
                <c:pt idx="289">
                  <c:v>-29.348220208701008</c:v>
                </c:pt>
                <c:pt idx="290">
                  <c:v>-29.397575385086633</c:v>
                </c:pt>
                <c:pt idx="291">
                  <c:v>-29.435524766608587</c:v>
                </c:pt>
                <c:pt idx="292">
                  <c:v>-29.465308549294434</c:v>
                </c:pt>
                <c:pt idx="293">
                  <c:v>-29.489099239256653</c:v>
                </c:pt>
                <c:pt idx="294">
                  <c:v>-29.508395560552742</c:v>
                </c:pt>
                <c:pt idx="295">
                  <c:v>-29.524257425555852</c:v>
                </c:pt>
                <c:pt idx="296">
                  <c:v>-29.537450953426585</c:v>
                </c:pt>
                <c:pt idx="297">
                  <c:v>-29.548540701812819</c:v>
                </c:pt>
                <c:pt idx="298">
                  <c:v>-29.557949910809103</c:v>
                </c:pt>
                <c:pt idx="299">
                  <c:v>-29.566000800387499</c:v>
                </c:pt>
                <c:pt idx="300">
                  <c:v>-29.572942106942328</c:v>
                </c:pt>
                <c:pt idx="301">
                  <c:v>-29.578968265488449</c:v>
                </c:pt>
                <c:pt idx="302">
                  <c:v>-29.584233007105251</c:v>
                </c:pt>
                <c:pt idx="303">
                  <c:v>-29.588859151650645</c:v>
                </c:pt>
                <c:pt idx="304">
                  <c:v>-29.592945763246973</c:v>
                </c:pt>
                <c:pt idx="305">
                  <c:v>-29.59657344864651</c:v>
                </c:pt>
                <c:pt idx="306">
                  <c:v>-29.599808328686962</c:v>
                </c:pt>
                <c:pt idx="307">
                  <c:v>-29.602705048889767</c:v>
                </c:pt>
                <c:pt idx="308">
                  <c:v>-29.605309085610514</c:v>
                </c:pt>
                <c:pt idx="309">
                  <c:v>-29.607658529764244</c:v>
                </c:pt>
                <c:pt idx="310">
                  <c:v>-29.609785478963104</c:v>
                </c:pt>
                <c:pt idx="311">
                  <c:v>-29.611717133204944</c:v>
                </c:pt>
                <c:pt idx="312">
                  <c:v>-29.613476664045063</c:v>
                </c:pt>
                <c:pt idx="313">
                  <c:v>-29.615083909175425</c:v>
                </c:pt>
                <c:pt idx="314">
                  <c:v>-29.616555931332389</c:v>
                </c:pt>
                <c:pt idx="315">
                  <c:v>-29.617907470969079</c:v>
                </c:pt>
                <c:pt idx="316">
                  <c:v>-29.619151315135607</c:v>
                </c:pt>
                <c:pt idx="317">
                  <c:v>-29.620298599823528</c:v>
                </c:pt>
                <c:pt idx="318">
                  <c:v>-29.621359059133091</c:v>
                </c:pt>
                <c:pt idx="319">
                  <c:v>-29.622341231681659</c:v>
                </c:pt>
                <c:pt idx="320">
                  <c:v>-29.62325263243261</c:v>
                </c:pt>
                <c:pt idx="321">
                  <c:v>-29.624099896405809</c:v>
                </c:pt>
                <c:pt idx="322">
                  <c:v>-29.624888899404198</c:v>
                </c:pt>
                <c:pt idx="323">
                  <c:v>-29.625624859861446</c:v>
                </c:pt>
                <c:pt idx="324">
                  <c:v>-29.626312425108278</c:v>
                </c:pt>
                <c:pt idx="325">
                  <c:v>-29.626955744722117</c:v>
                </c:pt>
                <c:pt idx="326">
                  <c:v>-29.627558533122496</c:v>
                </c:pt>
                <c:pt idx="327">
                  <c:v>-29.628124123176718</c:v>
                </c:pt>
                <c:pt idx="328">
                  <c:v>-29.628655512260416</c:v>
                </c:pt>
                <c:pt idx="329">
                  <c:v>-29.629155401962002</c:v>
                </c:pt>
                <c:pt idx="330">
                  <c:v>-29.629626232414481</c:v>
                </c:pt>
                <c:pt idx="331">
                  <c:v>-29.630070212067935</c:v>
                </c:pt>
                <c:pt idx="332">
                  <c:v>-29.630489343582866</c:v>
                </c:pt>
                <c:pt idx="333">
                  <c:v>-29.630885446410034</c:v>
                </c:pt>
                <c:pt idx="334">
                  <c:v>-29.631260176533253</c:v>
                </c:pt>
                <c:pt idx="335">
                  <c:v>-29.631615043775035</c:v>
                </c:pt>
                <c:pt idx="336">
                  <c:v>-29.63195142700247</c:v>
                </c:pt>
                <c:pt idx="337">
                  <c:v>-29.632270587519756</c:v>
                </c:pt>
                <c:pt idx="338">
                  <c:v>-29.632573680890189</c:v>
                </c:pt>
                <c:pt idx="339">
                  <c:v>-29.632861767394747</c:v>
                </c:pt>
                <c:pt idx="340">
                  <c:v>-29.633135821303505</c:v>
                </c:pt>
                <c:pt idx="341">
                  <c:v>-29.633396739112122</c:v>
                </c:pt>
                <c:pt idx="342">
                  <c:v>-29.63364534687237</c:v>
                </c:pt>
                <c:pt idx="343">
                  <c:v>-29.633882406729629</c:v>
                </c:pt>
                <c:pt idx="344">
                  <c:v>-29.634108622763851</c:v>
                </c:pt>
                <c:pt idx="345">
                  <c:v>-29.634324646216324</c:v>
                </c:pt>
                <c:pt idx="346">
                  <c:v>-29.634531080176867</c:v>
                </c:pt>
                <c:pt idx="347">
                  <c:v>-29.634728483792131</c:v>
                </c:pt>
                <c:pt idx="348">
                  <c:v>-29.634917376052194</c:v>
                </c:pt>
                <c:pt idx="349">
                  <c:v>-29.635098239200786</c:v>
                </c:pt>
                <c:pt idx="350">
                  <c:v>-29.635271521813301</c:v>
                </c:pt>
                <c:pt idx="351">
                  <c:v>-29.6354376415781</c:v>
                </c:pt>
                <c:pt idx="352">
                  <c:v>-29.635596987812832</c:v>
                </c:pt>
                <c:pt idx="353">
                  <c:v>-29.635749923745855</c:v>
                </c:pt>
                <c:pt idx="354">
                  <c:v>-29.635896788585782</c:v>
                </c:pt>
                <c:pt idx="355">
                  <c:v>-29.636037899401998</c:v>
                </c:pt>
                <c:pt idx="356">
                  <c:v>-29.636173552836329</c:v>
                </c:pt>
                <c:pt idx="357">
                  <c:v>-29.636304026661545</c:v>
                </c:pt>
                <c:pt idx="358">
                  <c:v>-29.636429581203387</c:v>
                </c:pt>
                <c:pt idx="359">
                  <c:v>-29.636550460639185</c:v>
                </c:pt>
                <c:pt idx="360">
                  <c:v>-29.636666894184579</c:v>
                </c:pt>
                <c:pt idx="361">
                  <c:v>-29.636779097180384</c:v>
                </c:pt>
                <c:pt idx="362">
                  <c:v>-29.636887272088014</c:v>
                </c:pt>
                <c:pt idx="363">
                  <c:v>-29.636991609402834</c:v>
                </c:pt>
                <c:pt idx="364">
                  <c:v>-29.637092288492831</c:v>
                </c:pt>
                <c:pt idx="365">
                  <c:v>-29.637189478369347</c:v>
                </c:pt>
                <c:pt idx="366">
                  <c:v>-29.637283338396326</c:v>
                </c:pt>
                <c:pt idx="367">
                  <c:v>-29.637374018943611</c:v>
                </c:pt>
                <c:pt idx="368">
                  <c:v>-29.637461661989342</c:v>
                </c:pt>
                <c:pt idx="369">
                  <c:v>-29.637546401675241</c:v>
                </c:pt>
                <c:pt idx="370">
                  <c:v>-29.637628364820266</c:v>
                </c:pt>
                <c:pt idx="371">
                  <c:v>-29.637707671395006</c:v>
                </c:pt>
                <c:pt idx="372">
                  <c:v>-29.637784434960274</c:v>
                </c:pt>
                <c:pt idx="373">
                  <c:v>-29.637858763074256</c:v>
                </c:pt>
                <c:pt idx="374">
                  <c:v>-29.637930757668865</c:v>
                </c:pt>
                <c:pt idx="375">
                  <c:v>-29.638000515398947</c:v>
                </c:pt>
                <c:pt idx="376">
                  <c:v>-29.638068127967404</c:v>
                </c:pt>
                <c:pt idx="377">
                  <c:v>-29.63813368242592</c:v>
                </c:pt>
                <c:pt idx="378">
                  <c:v>-29.638197261455343</c:v>
                </c:pt>
                <c:pt idx="379">
                  <c:v>-29.638258943626532</c:v>
                </c:pt>
              </c:numCache>
            </c:numRef>
          </c:yVal>
          <c:smooth val="1"/>
          <c:extLst>
            <c:ext xmlns:c16="http://schemas.microsoft.com/office/drawing/2014/chart" uri="{C3380CC4-5D6E-409C-BE32-E72D297353CC}">
              <c16:uniqueId val="{00000000-F295-4CB6-94E4-F219950E12B6}"/>
            </c:ext>
          </c:extLst>
        </c:ser>
        <c:dLbls>
          <c:showLegendKey val="0"/>
          <c:showVal val="0"/>
          <c:showCatName val="0"/>
          <c:showSerName val="0"/>
          <c:showPercent val="0"/>
          <c:showBubbleSize val="0"/>
        </c:dLbls>
        <c:axId val="1434155088"/>
        <c:axId val="1570699712"/>
      </c:scatterChart>
      <c:valAx>
        <c:axId val="1434155088"/>
        <c:scaling>
          <c:logBase val="10"/>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Phase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'Loop Gain'!$R$1</c:f>
              <c:strCache>
                <c:ptCount val="1"/>
                <c:pt idx="0">
                  <c:v>Phase DCM</c:v>
                </c:pt>
              </c:strCache>
            </c:strRef>
          </c:tx>
          <c:spPr>
            <a:ln w="19050" cap="rnd">
              <a:solidFill>
                <a:schemeClr val="accent1"/>
              </a:solidFill>
              <a:round/>
            </a:ln>
            <a:effectLst/>
          </c:spPr>
          <c:marker>
            <c:symbol val="none"/>
          </c:marker>
          <c:xVal>
            <c:numRef>
              <c:f>'Loop Gain'!$A$2:$A$381</c:f>
              <c:numCache>
                <c:formatCode>General</c:formatCode>
                <c:ptCount val="380"/>
                <c:pt idx="0">
                  <c:v>1</c:v>
                </c:pt>
                <c:pt idx="1">
                  <c:v>10</c:v>
                </c:pt>
                <c:pt idx="2">
                  <c:v>20</c:v>
                </c:pt>
                <c:pt idx="3">
                  <c:v>30</c:v>
                </c:pt>
                <c:pt idx="4">
                  <c:v>40</c:v>
                </c:pt>
                <c:pt idx="5">
                  <c:v>50</c:v>
                </c:pt>
                <c:pt idx="6">
                  <c:v>60</c:v>
                </c:pt>
                <c:pt idx="7">
                  <c:v>70</c:v>
                </c:pt>
                <c:pt idx="8">
                  <c:v>80</c:v>
                </c:pt>
                <c:pt idx="9">
                  <c:v>90</c:v>
                </c:pt>
                <c:pt idx="10">
                  <c:v>100</c:v>
                </c:pt>
                <c:pt idx="11">
                  <c:v>200</c:v>
                </c:pt>
                <c:pt idx="12">
                  <c:v>300</c:v>
                </c:pt>
                <c:pt idx="13">
                  <c:v>400</c:v>
                </c:pt>
                <c:pt idx="14">
                  <c:v>500</c:v>
                </c:pt>
                <c:pt idx="15">
                  <c:v>600</c:v>
                </c:pt>
                <c:pt idx="16">
                  <c:v>700</c:v>
                </c:pt>
                <c:pt idx="17">
                  <c:v>800</c:v>
                </c:pt>
                <c:pt idx="18">
                  <c:v>900</c:v>
                </c:pt>
                <c:pt idx="19">
                  <c:v>1000</c:v>
                </c:pt>
                <c:pt idx="20">
                  <c:v>1100</c:v>
                </c:pt>
                <c:pt idx="21">
                  <c:v>1200</c:v>
                </c:pt>
                <c:pt idx="22">
                  <c:v>1300</c:v>
                </c:pt>
                <c:pt idx="23">
                  <c:v>1400</c:v>
                </c:pt>
                <c:pt idx="24">
                  <c:v>1500</c:v>
                </c:pt>
                <c:pt idx="25">
                  <c:v>1600</c:v>
                </c:pt>
                <c:pt idx="26">
                  <c:v>1700</c:v>
                </c:pt>
                <c:pt idx="27">
                  <c:v>1800</c:v>
                </c:pt>
                <c:pt idx="28">
                  <c:v>1900</c:v>
                </c:pt>
                <c:pt idx="29">
                  <c:v>2000</c:v>
                </c:pt>
                <c:pt idx="30">
                  <c:v>2100</c:v>
                </c:pt>
                <c:pt idx="31">
                  <c:v>2200</c:v>
                </c:pt>
                <c:pt idx="32">
                  <c:v>2300</c:v>
                </c:pt>
                <c:pt idx="33">
                  <c:v>2400</c:v>
                </c:pt>
                <c:pt idx="34">
                  <c:v>2500</c:v>
                </c:pt>
                <c:pt idx="35">
                  <c:v>2600</c:v>
                </c:pt>
                <c:pt idx="36">
                  <c:v>2700</c:v>
                </c:pt>
                <c:pt idx="37">
                  <c:v>2800</c:v>
                </c:pt>
                <c:pt idx="38">
                  <c:v>2900</c:v>
                </c:pt>
                <c:pt idx="39">
                  <c:v>3000</c:v>
                </c:pt>
                <c:pt idx="40">
                  <c:v>3100</c:v>
                </c:pt>
                <c:pt idx="41">
                  <c:v>3200</c:v>
                </c:pt>
                <c:pt idx="42">
                  <c:v>3300</c:v>
                </c:pt>
                <c:pt idx="43">
                  <c:v>3400</c:v>
                </c:pt>
                <c:pt idx="44">
                  <c:v>3500</c:v>
                </c:pt>
                <c:pt idx="45">
                  <c:v>3600</c:v>
                </c:pt>
                <c:pt idx="46">
                  <c:v>3700</c:v>
                </c:pt>
                <c:pt idx="47">
                  <c:v>3800</c:v>
                </c:pt>
                <c:pt idx="48">
                  <c:v>3900</c:v>
                </c:pt>
                <c:pt idx="49">
                  <c:v>4000</c:v>
                </c:pt>
                <c:pt idx="50">
                  <c:v>4100</c:v>
                </c:pt>
                <c:pt idx="51">
                  <c:v>4200</c:v>
                </c:pt>
                <c:pt idx="52">
                  <c:v>4300</c:v>
                </c:pt>
                <c:pt idx="53">
                  <c:v>4400</c:v>
                </c:pt>
                <c:pt idx="54">
                  <c:v>4500</c:v>
                </c:pt>
                <c:pt idx="55">
                  <c:v>4600</c:v>
                </c:pt>
                <c:pt idx="56">
                  <c:v>4700</c:v>
                </c:pt>
                <c:pt idx="57">
                  <c:v>4800</c:v>
                </c:pt>
                <c:pt idx="58">
                  <c:v>4900</c:v>
                </c:pt>
                <c:pt idx="59">
                  <c:v>5000</c:v>
                </c:pt>
                <c:pt idx="60">
                  <c:v>5100</c:v>
                </c:pt>
                <c:pt idx="61">
                  <c:v>5200</c:v>
                </c:pt>
                <c:pt idx="62">
                  <c:v>5300</c:v>
                </c:pt>
                <c:pt idx="63">
                  <c:v>5400</c:v>
                </c:pt>
                <c:pt idx="64">
                  <c:v>5500</c:v>
                </c:pt>
                <c:pt idx="65">
                  <c:v>5600</c:v>
                </c:pt>
                <c:pt idx="66">
                  <c:v>5700</c:v>
                </c:pt>
                <c:pt idx="67">
                  <c:v>5800</c:v>
                </c:pt>
                <c:pt idx="68">
                  <c:v>5900</c:v>
                </c:pt>
                <c:pt idx="69">
                  <c:v>6000</c:v>
                </c:pt>
                <c:pt idx="70">
                  <c:v>6100</c:v>
                </c:pt>
                <c:pt idx="71">
                  <c:v>6200</c:v>
                </c:pt>
                <c:pt idx="72">
                  <c:v>6300</c:v>
                </c:pt>
                <c:pt idx="73">
                  <c:v>6400</c:v>
                </c:pt>
                <c:pt idx="74">
                  <c:v>6500</c:v>
                </c:pt>
                <c:pt idx="75">
                  <c:v>6600</c:v>
                </c:pt>
                <c:pt idx="76">
                  <c:v>6700</c:v>
                </c:pt>
                <c:pt idx="77">
                  <c:v>6800</c:v>
                </c:pt>
                <c:pt idx="78">
                  <c:v>6900</c:v>
                </c:pt>
                <c:pt idx="79">
                  <c:v>7000</c:v>
                </c:pt>
                <c:pt idx="80">
                  <c:v>7100</c:v>
                </c:pt>
                <c:pt idx="81">
                  <c:v>7200</c:v>
                </c:pt>
                <c:pt idx="82">
                  <c:v>7300</c:v>
                </c:pt>
                <c:pt idx="83">
                  <c:v>7400</c:v>
                </c:pt>
                <c:pt idx="84">
                  <c:v>7500</c:v>
                </c:pt>
                <c:pt idx="85">
                  <c:v>7600</c:v>
                </c:pt>
                <c:pt idx="86">
                  <c:v>7700</c:v>
                </c:pt>
                <c:pt idx="87">
                  <c:v>7800</c:v>
                </c:pt>
                <c:pt idx="88">
                  <c:v>7900</c:v>
                </c:pt>
                <c:pt idx="89">
                  <c:v>8000</c:v>
                </c:pt>
                <c:pt idx="90">
                  <c:v>8100</c:v>
                </c:pt>
                <c:pt idx="91">
                  <c:v>8200</c:v>
                </c:pt>
                <c:pt idx="92">
                  <c:v>8300</c:v>
                </c:pt>
                <c:pt idx="93">
                  <c:v>8400</c:v>
                </c:pt>
                <c:pt idx="94">
                  <c:v>8500</c:v>
                </c:pt>
                <c:pt idx="95">
                  <c:v>8600</c:v>
                </c:pt>
                <c:pt idx="96">
                  <c:v>8700</c:v>
                </c:pt>
                <c:pt idx="97">
                  <c:v>8800</c:v>
                </c:pt>
                <c:pt idx="98">
                  <c:v>8900</c:v>
                </c:pt>
                <c:pt idx="99">
                  <c:v>9000</c:v>
                </c:pt>
                <c:pt idx="100">
                  <c:v>9100</c:v>
                </c:pt>
                <c:pt idx="101">
                  <c:v>9200</c:v>
                </c:pt>
                <c:pt idx="102">
                  <c:v>9300</c:v>
                </c:pt>
                <c:pt idx="103">
                  <c:v>9400</c:v>
                </c:pt>
                <c:pt idx="104">
                  <c:v>9500</c:v>
                </c:pt>
                <c:pt idx="105">
                  <c:v>9600</c:v>
                </c:pt>
                <c:pt idx="106">
                  <c:v>9700</c:v>
                </c:pt>
                <c:pt idx="107">
                  <c:v>9800</c:v>
                </c:pt>
                <c:pt idx="108">
                  <c:v>9900</c:v>
                </c:pt>
                <c:pt idx="109">
                  <c:v>10000</c:v>
                </c:pt>
                <c:pt idx="110">
                  <c:v>11000</c:v>
                </c:pt>
                <c:pt idx="111">
                  <c:v>12000</c:v>
                </c:pt>
                <c:pt idx="112">
                  <c:v>13000</c:v>
                </c:pt>
                <c:pt idx="113">
                  <c:v>14000</c:v>
                </c:pt>
                <c:pt idx="114">
                  <c:v>15000</c:v>
                </c:pt>
                <c:pt idx="115">
                  <c:v>16000</c:v>
                </c:pt>
                <c:pt idx="116">
                  <c:v>17000</c:v>
                </c:pt>
                <c:pt idx="117">
                  <c:v>18000</c:v>
                </c:pt>
                <c:pt idx="118">
                  <c:v>19000</c:v>
                </c:pt>
                <c:pt idx="119">
                  <c:v>20000</c:v>
                </c:pt>
                <c:pt idx="120">
                  <c:v>21000</c:v>
                </c:pt>
                <c:pt idx="121">
                  <c:v>22000</c:v>
                </c:pt>
                <c:pt idx="122">
                  <c:v>23000</c:v>
                </c:pt>
                <c:pt idx="123">
                  <c:v>24000</c:v>
                </c:pt>
                <c:pt idx="124">
                  <c:v>25000</c:v>
                </c:pt>
                <c:pt idx="125">
                  <c:v>26000</c:v>
                </c:pt>
                <c:pt idx="126">
                  <c:v>27000</c:v>
                </c:pt>
                <c:pt idx="127">
                  <c:v>28000</c:v>
                </c:pt>
                <c:pt idx="128">
                  <c:v>29000</c:v>
                </c:pt>
                <c:pt idx="129">
                  <c:v>30000</c:v>
                </c:pt>
                <c:pt idx="130">
                  <c:v>31000</c:v>
                </c:pt>
                <c:pt idx="131">
                  <c:v>32000</c:v>
                </c:pt>
                <c:pt idx="132">
                  <c:v>33000</c:v>
                </c:pt>
                <c:pt idx="133">
                  <c:v>34000</c:v>
                </c:pt>
                <c:pt idx="134">
                  <c:v>35000</c:v>
                </c:pt>
                <c:pt idx="135">
                  <c:v>36000</c:v>
                </c:pt>
                <c:pt idx="136">
                  <c:v>37000</c:v>
                </c:pt>
                <c:pt idx="137">
                  <c:v>38000</c:v>
                </c:pt>
                <c:pt idx="138">
                  <c:v>39000</c:v>
                </c:pt>
                <c:pt idx="139">
                  <c:v>40000</c:v>
                </c:pt>
                <c:pt idx="140">
                  <c:v>41000</c:v>
                </c:pt>
                <c:pt idx="141">
                  <c:v>42000</c:v>
                </c:pt>
                <c:pt idx="142">
                  <c:v>43000</c:v>
                </c:pt>
                <c:pt idx="143">
                  <c:v>44000</c:v>
                </c:pt>
                <c:pt idx="144">
                  <c:v>45000</c:v>
                </c:pt>
                <c:pt idx="145">
                  <c:v>46000</c:v>
                </c:pt>
                <c:pt idx="146">
                  <c:v>47000</c:v>
                </c:pt>
                <c:pt idx="147">
                  <c:v>48000</c:v>
                </c:pt>
                <c:pt idx="148">
                  <c:v>49000</c:v>
                </c:pt>
                <c:pt idx="149">
                  <c:v>50000</c:v>
                </c:pt>
                <c:pt idx="150">
                  <c:v>51000</c:v>
                </c:pt>
                <c:pt idx="151">
                  <c:v>52000</c:v>
                </c:pt>
                <c:pt idx="152">
                  <c:v>53000</c:v>
                </c:pt>
                <c:pt idx="153">
                  <c:v>54000</c:v>
                </c:pt>
                <c:pt idx="154">
                  <c:v>55000</c:v>
                </c:pt>
                <c:pt idx="155">
                  <c:v>56000</c:v>
                </c:pt>
                <c:pt idx="156">
                  <c:v>57000</c:v>
                </c:pt>
                <c:pt idx="157">
                  <c:v>58000</c:v>
                </c:pt>
                <c:pt idx="158">
                  <c:v>59000</c:v>
                </c:pt>
                <c:pt idx="159">
                  <c:v>60000</c:v>
                </c:pt>
                <c:pt idx="160">
                  <c:v>61000</c:v>
                </c:pt>
                <c:pt idx="161">
                  <c:v>62000</c:v>
                </c:pt>
                <c:pt idx="162">
                  <c:v>63000</c:v>
                </c:pt>
                <c:pt idx="163">
                  <c:v>64000</c:v>
                </c:pt>
                <c:pt idx="164">
                  <c:v>65000</c:v>
                </c:pt>
                <c:pt idx="165">
                  <c:v>66000</c:v>
                </c:pt>
                <c:pt idx="166">
                  <c:v>67000</c:v>
                </c:pt>
                <c:pt idx="167">
                  <c:v>68000</c:v>
                </c:pt>
                <c:pt idx="168">
                  <c:v>69000</c:v>
                </c:pt>
                <c:pt idx="169">
                  <c:v>70000</c:v>
                </c:pt>
                <c:pt idx="170">
                  <c:v>71000</c:v>
                </c:pt>
                <c:pt idx="171">
                  <c:v>72000</c:v>
                </c:pt>
                <c:pt idx="172">
                  <c:v>73000</c:v>
                </c:pt>
                <c:pt idx="173">
                  <c:v>74000</c:v>
                </c:pt>
                <c:pt idx="174">
                  <c:v>75000</c:v>
                </c:pt>
                <c:pt idx="175">
                  <c:v>76000</c:v>
                </c:pt>
                <c:pt idx="176">
                  <c:v>77000</c:v>
                </c:pt>
                <c:pt idx="177">
                  <c:v>78000</c:v>
                </c:pt>
                <c:pt idx="178">
                  <c:v>79000</c:v>
                </c:pt>
                <c:pt idx="179">
                  <c:v>80000</c:v>
                </c:pt>
                <c:pt idx="180">
                  <c:v>81000</c:v>
                </c:pt>
                <c:pt idx="181">
                  <c:v>82000</c:v>
                </c:pt>
                <c:pt idx="182">
                  <c:v>83000</c:v>
                </c:pt>
                <c:pt idx="183">
                  <c:v>84000</c:v>
                </c:pt>
                <c:pt idx="184">
                  <c:v>85000</c:v>
                </c:pt>
                <c:pt idx="185">
                  <c:v>86000</c:v>
                </c:pt>
                <c:pt idx="186">
                  <c:v>87000</c:v>
                </c:pt>
                <c:pt idx="187">
                  <c:v>88000</c:v>
                </c:pt>
                <c:pt idx="188">
                  <c:v>89000</c:v>
                </c:pt>
                <c:pt idx="189">
                  <c:v>90000</c:v>
                </c:pt>
                <c:pt idx="190">
                  <c:v>91000</c:v>
                </c:pt>
                <c:pt idx="191">
                  <c:v>92000</c:v>
                </c:pt>
                <c:pt idx="192">
                  <c:v>93000</c:v>
                </c:pt>
                <c:pt idx="193">
                  <c:v>94000</c:v>
                </c:pt>
                <c:pt idx="194">
                  <c:v>95000</c:v>
                </c:pt>
                <c:pt idx="195">
                  <c:v>96000</c:v>
                </c:pt>
                <c:pt idx="196">
                  <c:v>97000</c:v>
                </c:pt>
                <c:pt idx="197">
                  <c:v>98000</c:v>
                </c:pt>
                <c:pt idx="198">
                  <c:v>99000</c:v>
                </c:pt>
                <c:pt idx="199">
                  <c:v>100000</c:v>
                </c:pt>
                <c:pt idx="200">
                  <c:v>110000</c:v>
                </c:pt>
                <c:pt idx="201">
                  <c:v>120000</c:v>
                </c:pt>
                <c:pt idx="202">
                  <c:v>130000</c:v>
                </c:pt>
                <c:pt idx="203">
                  <c:v>140000</c:v>
                </c:pt>
                <c:pt idx="204">
                  <c:v>150000</c:v>
                </c:pt>
                <c:pt idx="205">
                  <c:v>160000</c:v>
                </c:pt>
                <c:pt idx="206">
                  <c:v>170000</c:v>
                </c:pt>
                <c:pt idx="207">
                  <c:v>180000</c:v>
                </c:pt>
                <c:pt idx="208">
                  <c:v>190000</c:v>
                </c:pt>
                <c:pt idx="209">
                  <c:v>200000</c:v>
                </c:pt>
                <c:pt idx="210">
                  <c:v>210000</c:v>
                </c:pt>
                <c:pt idx="211">
                  <c:v>220000</c:v>
                </c:pt>
                <c:pt idx="212">
                  <c:v>230000</c:v>
                </c:pt>
                <c:pt idx="213">
                  <c:v>240000</c:v>
                </c:pt>
                <c:pt idx="214">
                  <c:v>250000</c:v>
                </c:pt>
                <c:pt idx="215">
                  <c:v>260000</c:v>
                </c:pt>
                <c:pt idx="216">
                  <c:v>270000</c:v>
                </c:pt>
                <c:pt idx="217">
                  <c:v>280000</c:v>
                </c:pt>
                <c:pt idx="218">
                  <c:v>290000</c:v>
                </c:pt>
                <c:pt idx="219">
                  <c:v>300000</c:v>
                </c:pt>
                <c:pt idx="220">
                  <c:v>310000</c:v>
                </c:pt>
                <c:pt idx="221">
                  <c:v>320000</c:v>
                </c:pt>
                <c:pt idx="222">
                  <c:v>330000</c:v>
                </c:pt>
                <c:pt idx="223">
                  <c:v>340000</c:v>
                </c:pt>
                <c:pt idx="224">
                  <c:v>350000</c:v>
                </c:pt>
                <c:pt idx="225">
                  <c:v>360000</c:v>
                </c:pt>
                <c:pt idx="226">
                  <c:v>370000</c:v>
                </c:pt>
                <c:pt idx="227">
                  <c:v>380000</c:v>
                </c:pt>
                <c:pt idx="228">
                  <c:v>390000</c:v>
                </c:pt>
                <c:pt idx="229">
                  <c:v>400000</c:v>
                </c:pt>
                <c:pt idx="230">
                  <c:v>410000</c:v>
                </c:pt>
                <c:pt idx="231">
                  <c:v>420000</c:v>
                </c:pt>
                <c:pt idx="232">
                  <c:v>430000</c:v>
                </c:pt>
                <c:pt idx="233">
                  <c:v>440000</c:v>
                </c:pt>
                <c:pt idx="234">
                  <c:v>450000</c:v>
                </c:pt>
                <c:pt idx="235">
                  <c:v>460000</c:v>
                </c:pt>
                <c:pt idx="236">
                  <c:v>470000</c:v>
                </c:pt>
                <c:pt idx="237">
                  <c:v>480000</c:v>
                </c:pt>
                <c:pt idx="238">
                  <c:v>490000</c:v>
                </c:pt>
                <c:pt idx="239">
                  <c:v>500000</c:v>
                </c:pt>
                <c:pt idx="240">
                  <c:v>510000</c:v>
                </c:pt>
                <c:pt idx="241">
                  <c:v>520000</c:v>
                </c:pt>
                <c:pt idx="242">
                  <c:v>530000</c:v>
                </c:pt>
                <c:pt idx="243">
                  <c:v>540000</c:v>
                </c:pt>
                <c:pt idx="244">
                  <c:v>550000</c:v>
                </c:pt>
                <c:pt idx="245">
                  <c:v>560000</c:v>
                </c:pt>
                <c:pt idx="246">
                  <c:v>570000</c:v>
                </c:pt>
                <c:pt idx="247">
                  <c:v>580000</c:v>
                </c:pt>
                <c:pt idx="248">
                  <c:v>590000</c:v>
                </c:pt>
                <c:pt idx="249">
                  <c:v>600000</c:v>
                </c:pt>
                <c:pt idx="250">
                  <c:v>610000</c:v>
                </c:pt>
                <c:pt idx="251">
                  <c:v>620000</c:v>
                </c:pt>
                <c:pt idx="252">
                  <c:v>630000</c:v>
                </c:pt>
                <c:pt idx="253">
                  <c:v>640000</c:v>
                </c:pt>
                <c:pt idx="254">
                  <c:v>650000</c:v>
                </c:pt>
                <c:pt idx="255">
                  <c:v>660000</c:v>
                </c:pt>
                <c:pt idx="256">
                  <c:v>670000</c:v>
                </c:pt>
                <c:pt idx="257">
                  <c:v>680000</c:v>
                </c:pt>
                <c:pt idx="258">
                  <c:v>690000</c:v>
                </c:pt>
                <c:pt idx="259">
                  <c:v>700000</c:v>
                </c:pt>
                <c:pt idx="260">
                  <c:v>710000</c:v>
                </c:pt>
                <c:pt idx="261">
                  <c:v>720000</c:v>
                </c:pt>
                <c:pt idx="262">
                  <c:v>730000</c:v>
                </c:pt>
                <c:pt idx="263">
                  <c:v>740000</c:v>
                </c:pt>
                <c:pt idx="264">
                  <c:v>750000</c:v>
                </c:pt>
                <c:pt idx="265">
                  <c:v>760000</c:v>
                </c:pt>
                <c:pt idx="266">
                  <c:v>770000</c:v>
                </c:pt>
                <c:pt idx="267">
                  <c:v>780000</c:v>
                </c:pt>
                <c:pt idx="268">
                  <c:v>790000</c:v>
                </c:pt>
                <c:pt idx="269">
                  <c:v>800000</c:v>
                </c:pt>
                <c:pt idx="270">
                  <c:v>810000</c:v>
                </c:pt>
                <c:pt idx="271">
                  <c:v>820000</c:v>
                </c:pt>
                <c:pt idx="272">
                  <c:v>830000</c:v>
                </c:pt>
                <c:pt idx="273">
                  <c:v>840000</c:v>
                </c:pt>
                <c:pt idx="274">
                  <c:v>850000</c:v>
                </c:pt>
                <c:pt idx="275">
                  <c:v>860000</c:v>
                </c:pt>
                <c:pt idx="276">
                  <c:v>870000</c:v>
                </c:pt>
                <c:pt idx="277">
                  <c:v>880000</c:v>
                </c:pt>
                <c:pt idx="278">
                  <c:v>890000</c:v>
                </c:pt>
                <c:pt idx="279">
                  <c:v>900000</c:v>
                </c:pt>
                <c:pt idx="280">
                  <c:v>910000</c:v>
                </c:pt>
                <c:pt idx="281">
                  <c:v>920000</c:v>
                </c:pt>
                <c:pt idx="282">
                  <c:v>930000</c:v>
                </c:pt>
                <c:pt idx="283">
                  <c:v>940000</c:v>
                </c:pt>
                <c:pt idx="284">
                  <c:v>950000</c:v>
                </c:pt>
                <c:pt idx="285">
                  <c:v>960000</c:v>
                </c:pt>
                <c:pt idx="286">
                  <c:v>970000</c:v>
                </c:pt>
                <c:pt idx="287">
                  <c:v>980000</c:v>
                </c:pt>
                <c:pt idx="288">
                  <c:v>990000</c:v>
                </c:pt>
                <c:pt idx="289">
                  <c:v>1000000</c:v>
                </c:pt>
                <c:pt idx="290">
                  <c:v>1100000</c:v>
                </c:pt>
                <c:pt idx="291">
                  <c:v>1200000</c:v>
                </c:pt>
                <c:pt idx="292">
                  <c:v>1300000</c:v>
                </c:pt>
                <c:pt idx="293">
                  <c:v>1400000</c:v>
                </c:pt>
                <c:pt idx="294">
                  <c:v>1500000</c:v>
                </c:pt>
                <c:pt idx="295">
                  <c:v>1600000</c:v>
                </c:pt>
                <c:pt idx="296">
                  <c:v>1700000</c:v>
                </c:pt>
                <c:pt idx="297">
                  <c:v>1800000</c:v>
                </c:pt>
                <c:pt idx="298">
                  <c:v>1900000</c:v>
                </c:pt>
                <c:pt idx="299">
                  <c:v>2000000</c:v>
                </c:pt>
                <c:pt idx="300">
                  <c:v>2100000</c:v>
                </c:pt>
                <c:pt idx="301">
                  <c:v>2200000</c:v>
                </c:pt>
                <c:pt idx="302">
                  <c:v>2300000</c:v>
                </c:pt>
                <c:pt idx="303">
                  <c:v>2400000</c:v>
                </c:pt>
                <c:pt idx="304">
                  <c:v>2500000</c:v>
                </c:pt>
                <c:pt idx="305">
                  <c:v>2600000</c:v>
                </c:pt>
                <c:pt idx="306">
                  <c:v>2700000</c:v>
                </c:pt>
                <c:pt idx="307">
                  <c:v>2800000</c:v>
                </c:pt>
                <c:pt idx="308">
                  <c:v>2900000</c:v>
                </c:pt>
                <c:pt idx="309">
                  <c:v>3000000</c:v>
                </c:pt>
                <c:pt idx="310">
                  <c:v>3100000</c:v>
                </c:pt>
                <c:pt idx="311">
                  <c:v>3200000</c:v>
                </c:pt>
                <c:pt idx="312">
                  <c:v>3300000</c:v>
                </c:pt>
                <c:pt idx="313">
                  <c:v>3400000</c:v>
                </c:pt>
                <c:pt idx="314">
                  <c:v>3500000</c:v>
                </c:pt>
                <c:pt idx="315">
                  <c:v>3600000</c:v>
                </c:pt>
                <c:pt idx="316">
                  <c:v>3700000</c:v>
                </c:pt>
                <c:pt idx="317">
                  <c:v>3800000</c:v>
                </c:pt>
                <c:pt idx="318">
                  <c:v>3900000</c:v>
                </c:pt>
                <c:pt idx="319">
                  <c:v>4000000</c:v>
                </c:pt>
                <c:pt idx="320">
                  <c:v>4100000</c:v>
                </c:pt>
                <c:pt idx="321">
                  <c:v>4200000</c:v>
                </c:pt>
                <c:pt idx="322">
                  <c:v>4300000</c:v>
                </c:pt>
                <c:pt idx="323">
                  <c:v>4400000</c:v>
                </c:pt>
                <c:pt idx="324">
                  <c:v>4500000</c:v>
                </c:pt>
                <c:pt idx="325">
                  <c:v>4600000</c:v>
                </c:pt>
                <c:pt idx="326">
                  <c:v>4700000</c:v>
                </c:pt>
                <c:pt idx="327">
                  <c:v>4800000</c:v>
                </c:pt>
                <c:pt idx="328">
                  <c:v>4900000</c:v>
                </c:pt>
                <c:pt idx="329">
                  <c:v>5000000</c:v>
                </c:pt>
                <c:pt idx="330">
                  <c:v>5100000</c:v>
                </c:pt>
                <c:pt idx="331">
                  <c:v>5200000</c:v>
                </c:pt>
                <c:pt idx="332">
                  <c:v>5300000</c:v>
                </c:pt>
                <c:pt idx="333">
                  <c:v>5400000</c:v>
                </c:pt>
                <c:pt idx="334">
                  <c:v>5500000</c:v>
                </c:pt>
                <c:pt idx="335">
                  <c:v>5600000</c:v>
                </c:pt>
                <c:pt idx="336">
                  <c:v>5700000</c:v>
                </c:pt>
                <c:pt idx="337">
                  <c:v>5800000</c:v>
                </c:pt>
                <c:pt idx="338">
                  <c:v>5900000</c:v>
                </c:pt>
                <c:pt idx="339">
                  <c:v>6000000</c:v>
                </c:pt>
                <c:pt idx="340">
                  <c:v>6100000</c:v>
                </c:pt>
                <c:pt idx="341">
                  <c:v>6200000</c:v>
                </c:pt>
                <c:pt idx="342">
                  <c:v>6300000</c:v>
                </c:pt>
                <c:pt idx="343">
                  <c:v>6400000</c:v>
                </c:pt>
                <c:pt idx="344">
                  <c:v>6500000</c:v>
                </c:pt>
                <c:pt idx="345">
                  <c:v>6600000</c:v>
                </c:pt>
                <c:pt idx="346">
                  <c:v>6700000</c:v>
                </c:pt>
                <c:pt idx="347">
                  <c:v>6800000</c:v>
                </c:pt>
                <c:pt idx="348">
                  <c:v>6900000</c:v>
                </c:pt>
                <c:pt idx="349">
                  <c:v>7000000</c:v>
                </c:pt>
                <c:pt idx="350">
                  <c:v>7100000</c:v>
                </c:pt>
                <c:pt idx="351">
                  <c:v>7200000</c:v>
                </c:pt>
                <c:pt idx="352">
                  <c:v>7300000</c:v>
                </c:pt>
                <c:pt idx="353">
                  <c:v>7400000</c:v>
                </c:pt>
                <c:pt idx="354">
                  <c:v>7500000</c:v>
                </c:pt>
                <c:pt idx="355">
                  <c:v>7600000</c:v>
                </c:pt>
                <c:pt idx="356">
                  <c:v>7700000</c:v>
                </c:pt>
                <c:pt idx="357">
                  <c:v>7800000</c:v>
                </c:pt>
                <c:pt idx="358">
                  <c:v>7900000</c:v>
                </c:pt>
                <c:pt idx="359">
                  <c:v>8000000</c:v>
                </c:pt>
                <c:pt idx="360">
                  <c:v>8100000</c:v>
                </c:pt>
                <c:pt idx="361">
                  <c:v>8200000</c:v>
                </c:pt>
                <c:pt idx="362">
                  <c:v>8300000</c:v>
                </c:pt>
                <c:pt idx="363">
                  <c:v>8400000</c:v>
                </c:pt>
                <c:pt idx="364">
                  <c:v>8500000</c:v>
                </c:pt>
                <c:pt idx="365">
                  <c:v>8600000</c:v>
                </c:pt>
                <c:pt idx="366">
                  <c:v>8700000</c:v>
                </c:pt>
                <c:pt idx="367">
                  <c:v>8800000</c:v>
                </c:pt>
                <c:pt idx="368">
                  <c:v>8900000</c:v>
                </c:pt>
                <c:pt idx="369">
                  <c:v>9000000</c:v>
                </c:pt>
                <c:pt idx="370">
                  <c:v>9100000</c:v>
                </c:pt>
                <c:pt idx="371">
                  <c:v>9200000</c:v>
                </c:pt>
                <c:pt idx="372">
                  <c:v>9300000</c:v>
                </c:pt>
                <c:pt idx="373">
                  <c:v>9400000</c:v>
                </c:pt>
                <c:pt idx="374">
                  <c:v>9500000</c:v>
                </c:pt>
                <c:pt idx="375">
                  <c:v>9600000</c:v>
                </c:pt>
                <c:pt idx="376">
                  <c:v>9700000</c:v>
                </c:pt>
                <c:pt idx="377">
                  <c:v>9800000</c:v>
                </c:pt>
                <c:pt idx="378">
                  <c:v>9900000</c:v>
                </c:pt>
                <c:pt idx="379">
                  <c:v>10000000</c:v>
                </c:pt>
              </c:numCache>
            </c:numRef>
          </c:xVal>
          <c:yVal>
            <c:numRef>
              <c:f>'Loop Gain'!$R$2:$R$381</c:f>
              <c:numCache>
                <c:formatCode>General</c:formatCode>
                <c:ptCount val="380"/>
                <c:pt idx="0">
                  <c:v>-0.24674198793373947</c:v>
                </c:pt>
                <c:pt idx="1">
                  <c:v>-2.4659126097047688</c:v>
                </c:pt>
                <c:pt idx="2">
                  <c:v>-4.9227305675779442</c:v>
                </c:pt>
                <c:pt idx="3">
                  <c:v>-7.3615589319496957</c:v>
                </c:pt>
                <c:pt idx="4">
                  <c:v>-9.7738913433279002</c:v>
                </c:pt>
                <c:pt idx="5">
                  <c:v>-12.151778301770976</c:v>
                </c:pt>
                <c:pt idx="6">
                  <c:v>-14.487967086064016</c:v>
                </c:pt>
                <c:pt idx="7">
                  <c:v>-16.776008153187313</c:v>
                </c:pt>
                <c:pt idx="8">
                  <c:v>-19.01032569900639</c:v>
                </c:pt>
                <c:pt idx="9">
                  <c:v>-21.186252781976307</c:v>
                </c:pt>
                <c:pt idx="10">
                  <c:v>-23.300033717840194</c:v>
                </c:pt>
                <c:pt idx="11">
                  <c:v>-40.743514286978488</c:v>
                </c:pt>
                <c:pt idx="12">
                  <c:v>-52.270824436712246</c:v>
                </c:pt>
                <c:pt idx="13">
                  <c:v>-59.882546166926112</c:v>
                </c:pt>
                <c:pt idx="14">
                  <c:v>-65.114610341164052</c:v>
                </c:pt>
                <c:pt idx="15">
                  <c:v>-68.8752732371007</c:v>
                </c:pt>
                <c:pt idx="16">
                  <c:v>-71.687111012994677</c:v>
                </c:pt>
                <c:pt idx="17">
                  <c:v>-73.859873489166446</c:v>
                </c:pt>
                <c:pt idx="18">
                  <c:v>-75.585043070903524</c:v>
                </c:pt>
                <c:pt idx="19">
                  <c:v>-76.986006152037476</c:v>
                </c:pt>
                <c:pt idx="20">
                  <c:v>-78.14530608950453</c:v>
                </c:pt>
                <c:pt idx="21">
                  <c:v>-79.120009912645969</c:v>
                </c:pt>
                <c:pt idx="22">
                  <c:v>-79.950718158287486</c:v>
                </c:pt>
                <c:pt idx="23">
                  <c:v>-80.667046208991309</c:v>
                </c:pt>
                <c:pt idx="24">
                  <c:v>-81.291073063630307</c:v>
                </c:pt>
                <c:pt idx="25">
                  <c:v>-81.839577835818261</c:v>
                </c:pt>
                <c:pt idx="26">
                  <c:v>-82.325529860958852</c:v>
                </c:pt>
                <c:pt idx="27">
                  <c:v>-82.759105822513433</c:v>
                </c:pt>
                <c:pt idx="28">
                  <c:v>-83.148399256292507</c:v>
                </c:pt>
                <c:pt idx="29">
                  <c:v>-83.499925224506228</c:v>
                </c:pt>
                <c:pt idx="30">
                  <c:v>-83.818985673483354</c:v>
                </c:pt>
                <c:pt idx="31">
                  <c:v>-84.109938189866668</c:v>
                </c:pt>
                <c:pt idx="32">
                  <c:v>-84.376396588096256</c:v>
                </c:pt>
                <c:pt idx="33">
                  <c:v>-84.621382616860373</c:v>
                </c:pt>
                <c:pt idx="34">
                  <c:v>-84.847442097266594</c:v>
                </c:pt>
                <c:pt idx="35">
                  <c:v>-85.056734828907963</c:v>
                </c:pt>
                <c:pt idx="36">
                  <c:v>-85.251104907929331</c:v>
                </c:pt>
                <c:pt idx="37">
                  <c:v>-85.432136249814633</c:v>
                </c:pt>
                <c:pt idx="38">
                  <c:v>-85.601196817716897</c:v>
                </c:pt>
                <c:pt idx="39">
                  <c:v>-85.759474143399387</c:v>
                </c:pt>
                <c:pt idx="40">
                  <c:v>-85.908004073397876</c:v>
                </c:pt>
                <c:pt idx="41">
                  <c:v>-86.047694198753632</c:v>
                </c:pt>
                <c:pt idx="42">
                  <c:v>-86.179343079210312</c:v>
                </c:pt>
                <c:pt idx="43">
                  <c:v>-86.303656115594791</c:v>
                </c:pt>
                <c:pt idx="44">
                  <c:v>-86.421258731921</c:v>
                </c:pt>
                <c:pt idx="45">
                  <c:v>-86.532707383841768</c:v>
                </c:pt>
                <c:pt idx="46">
                  <c:v>-86.638498799870447</c:v>
                </c:pt>
                <c:pt idx="47">
                  <c:v>-86.739077777316382</c:v>
                </c:pt>
                <c:pt idx="48">
                  <c:v>-86.834843789631293</c:v>
                </c:pt>
                <c:pt idx="49">
                  <c:v>-86.926156611107061</c:v>
                </c:pt>
                <c:pt idx="50">
                  <c:v>-87.013341125114437</c:v>
                </c:pt>
                <c:pt idx="51">
                  <c:v>-87.096691450742497</c:v>
                </c:pt>
                <c:pt idx="52">
                  <c:v>-87.176474497851459</c:v>
                </c:pt>
                <c:pt idx="53">
                  <c:v>-87.252933040735272</c:v>
                </c:pt>
                <c:pt idx="54">
                  <c:v>-87.32628838469779</c:v>
                </c:pt>
                <c:pt idx="55">
                  <c:v>-87.39674268703186</c:v>
                </c:pt>
                <c:pt idx="56">
                  <c:v>-87.464480983509802</c:v>
                </c:pt>
                <c:pt idx="57">
                  <c:v>-87.529672963041307</c:v>
                </c:pt>
                <c:pt idx="58">
                  <c:v>-87.592474526241304</c:v>
                </c:pt>
                <c:pt idx="59">
                  <c:v>-87.653029157972895</c:v>
                </c:pt>
                <c:pt idx="60">
                  <c:v>-87.711469139245835</c:v>
                </c:pt>
                <c:pt idx="61">
                  <c:v>-87.767916619971899</c:v>
                </c:pt>
                <c:pt idx="62">
                  <c:v>-87.822484570853959</c:v>
                </c:pt>
                <c:pt idx="63">
                  <c:v>-87.875277629992766</c:v>
                </c:pt>
                <c:pt idx="64">
                  <c:v>-87.92639285754376</c:v>
                </c:pt>
                <c:pt idx="65">
                  <c:v>-87.975920409860535</c:v>
                </c:pt>
                <c:pt idx="66">
                  <c:v>-88.023944142966073</c:v>
                </c:pt>
                <c:pt idx="67">
                  <c:v>-88.070542153842169</c:v>
                </c:pt>
                <c:pt idx="68">
                  <c:v>-88.115787266882307</c:v>
                </c:pt>
                <c:pt idx="69">
                  <c:v>-88.159747471877665</c:v>
                </c:pt>
                <c:pt idx="70">
                  <c:v>-88.202486319076229</c:v>
                </c:pt>
                <c:pt idx="71">
                  <c:v>-88.24406327614119</c:v>
                </c:pt>
                <c:pt idx="72">
                  <c:v>-88.284534051226728</c:v>
                </c:pt>
                <c:pt idx="73">
                  <c:v>-88.323950885862672</c:v>
                </c:pt>
                <c:pt idx="74">
                  <c:v>-88.362362820887697</c:v>
                </c:pt>
                <c:pt idx="75">
                  <c:v>-88.399815938280256</c:v>
                </c:pt>
                <c:pt idx="76">
                  <c:v>-88.436353581395792</c:v>
                </c:pt>
                <c:pt idx="77">
                  <c:v>-88.472016555826542</c:v>
                </c:pt>
                <c:pt idx="78">
                  <c:v>-88.506843312843486</c:v>
                </c:pt>
                <c:pt idx="79">
                  <c:v>-88.540870117156402</c:v>
                </c:pt>
                <c:pt idx="80">
                  <c:v>-88.574131200533841</c:v>
                </c:pt>
                <c:pt idx="81">
                  <c:v>-88.606658902653621</c:v>
                </c:pt>
                <c:pt idx="82">
                  <c:v>-88.638483800404813</c:v>
                </c:pt>
                <c:pt idx="83">
                  <c:v>-88.669634826730785</c:v>
                </c:pt>
                <c:pt idx="84">
                  <c:v>-88.700139379986567</c:v>
                </c:pt>
                <c:pt idx="85">
                  <c:v>-88.730023424682003</c:v>
                </c:pt>
                <c:pt idx="86">
                  <c:v>-88.759311584392393</c:v>
                </c:pt>
                <c:pt idx="87">
                  <c:v>-88.788027227536645</c:v>
                </c:pt>
                <c:pt idx="88">
                  <c:v>-88.81619254665452</c:v>
                </c:pt>
                <c:pt idx="89">
                  <c:v>-88.84382863175</c:v>
                </c:pt>
                <c:pt idx="90">
                  <c:v>-88.870955538212058</c:v>
                </c:pt>
                <c:pt idx="91">
                  <c:v>-88.897592349775508</c:v>
                </c:pt>
                <c:pt idx="92">
                  <c:v>-88.923757236938471</c:v>
                </c:pt>
                <c:pt idx="93">
                  <c:v>-88.949467511215175</c:v>
                </c:pt>
                <c:pt idx="94">
                  <c:v>-88.974739675565303</c:v>
                </c:pt>
                <c:pt idx="95">
                  <c:v>-88.999589471311481</c:v>
                </c:pt>
                <c:pt idx="96">
                  <c:v>-89.024031921826094</c:v>
                </c:pt>
                <c:pt idx="97">
                  <c:v>-89.048081373244585</c:v>
                </c:pt>
                <c:pt idx="98">
                  <c:v>-89.071751532438142</c:v>
                </c:pt>
                <c:pt idx="99">
                  <c:v>-89.09505550245882</c:v>
                </c:pt>
                <c:pt idx="100">
                  <c:v>-89.118005815651216</c:v>
                </c:pt>
                <c:pt idx="101">
                  <c:v>-89.14061446460768</c:v>
                </c:pt>
                <c:pt idx="102">
                  <c:v>-89.162892931129292</c:v>
                </c:pt>
                <c:pt idx="103">
                  <c:v>-89.184852213340861</c:v>
                </c:pt>
                <c:pt idx="104">
                  <c:v>-89.206502851095678</c:v>
                </c:pt>
                <c:pt idx="105">
                  <c:v>-89.22785494979442</c:v>
                </c:pt>
                <c:pt idx="106">
                  <c:v>-89.248918202732895</c:v>
                </c:pt>
                <c:pt idx="107">
                  <c:v>-89.26970191208288</c:v>
                </c:pt>
                <c:pt idx="108">
                  <c:v>-89.290215008603241</c:v>
                </c:pt>
                <c:pt idx="109">
                  <c:v>-89.31046607016944</c:v>
                </c:pt>
                <c:pt idx="110">
                  <c:v>-89.500231627429358</c:v>
                </c:pt>
                <c:pt idx="111">
                  <c:v>-89.67116876387621</c:v>
                </c:pt>
                <c:pt idx="112">
                  <c:v>-89.828026937036029</c:v>
                </c:pt>
                <c:pt idx="113">
                  <c:v>-89.974224600146172</c:v>
                </c:pt>
                <c:pt idx="114">
                  <c:v>-90.11229101465085</c:v>
                </c:pt>
                <c:pt idx="115">
                  <c:v>-90.244142425400128</c:v>
                </c:pt>
                <c:pt idx="116">
                  <c:v>-90.371260768605836</c:v>
                </c:pt>
                <c:pt idx="117">
                  <c:v>-90.494812805009985</c:v>
                </c:pt>
                <c:pt idx="118">
                  <c:v>-90.615731625268424</c:v>
                </c:pt>
                <c:pt idx="119">
                  <c:v>-90.734773700156396</c:v>
                </c:pt>
                <c:pt idx="120">
                  <c:v>-90.852559632160464</c:v>
                </c:pt>
                <c:pt idx="121">
                  <c:v>-90.969603799947691</c:v>
                </c:pt>
                <c:pt idx="122">
                  <c:v>-91.086336281808741</c:v>
                </c:pt>
                <c:pt idx="123">
                  <c:v>-91.203119315489062</c:v>
                </c:pt>
                <c:pt idx="124">
                  <c:v>-91.320259829277347</c:v>
                </c:pt>
                <c:pt idx="125">
                  <c:v>-91.438019106676478</c:v>
                </c:pt>
                <c:pt idx="126">
                  <c:v>-91.556620331878676</c:v>
                </c:pt>
                <c:pt idx="127">
                  <c:v>-91.676254549407631</c:v>
                </c:pt>
                <c:pt idx="128">
                  <c:v>-91.797085423768777</c:v>
                </c:pt>
                <c:pt idx="129">
                  <c:v>-91.919253081673816</c:v>
                </c:pt>
                <c:pt idx="130">
                  <c:v>-92.042877246108418</c:v>
                </c:pt>
                <c:pt idx="131">
                  <c:v>-92.16805981882878</c:v>
                </c:pt>
                <c:pt idx="132">
                  <c:v>-92.294887029565132</c:v>
                </c:pt>
                <c:pt idx="133">
                  <c:v>-92.423431242055671</c:v>
                </c:pt>
                <c:pt idx="134">
                  <c:v>-92.553752486132339</c:v>
                </c:pt>
                <c:pt idx="135">
                  <c:v>-92.685899769414021</c:v>
                </c:pt>
                <c:pt idx="136">
                  <c:v>-92.819912210336412</c:v>
                </c:pt>
                <c:pt idx="137">
                  <c:v>-92.95582002522589</c:v>
                </c:pt>
                <c:pt idx="138">
                  <c:v>-93.093645395218886</c:v>
                </c:pt>
                <c:pt idx="139">
                  <c:v>-93.233403233483259</c:v>
                </c:pt>
                <c:pt idx="140">
                  <c:v>-93.37510186905115</c:v>
                </c:pt>
                <c:pt idx="141">
                  <c:v>-93.518743660332845</c:v>
                </c:pt>
                <c:pt idx="142">
                  <c:v>-93.664325548836217</c:v>
                </c:pt>
                <c:pt idx="143">
                  <c:v>-93.811839561605836</c:v>
                </c:pt>
                <c:pt idx="144">
                  <c:v>-93.961273269309572</c:v>
                </c:pt>
                <c:pt idx="145">
                  <c:v>-94.112610205635534</c:v>
                </c:pt>
                <c:pt idx="146">
                  <c:v>-94.265830252649394</c:v>
                </c:pt>
                <c:pt idx="147">
                  <c:v>-94.420909995963214</c:v>
                </c:pt>
                <c:pt idx="148">
                  <c:v>-94.577823052912436</c:v>
                </c:pt>
                <c:pt idx="149">
                  <c:v>-94.736540376421203</c:v>
                </c:pt>
                <c:pt idx="150">
                  <c:v>-94.897030536815976</c:v>
                </c:pt>
                <c:pt idx="151">
                  <c:v>-95.059259983503765</c:v>
                </c:pt>
                <c:pt idx="152">
                  <c:v>-95.22319328817008</c:v>
                </c:pt>
                <c:pt idx="153">
                  <c:v>-95.388793370907536</c:v>
                </c:pt>
                <c:pt idx="154">
                  <c:v>-95.556021710525641</c:v>
                </c:pt>
                <c:pt idx="155">
                  <c:v>-95.724838540134058</c:v>
                </c:pt>
                <c:pt idx="156">
                  <c:v>-95.89520302896743</c:v>
                </c:pt>
                <c:pt idx="157">
                  <c:v>-96.0670734513306</c:v>
                </c:pt>
                <c:pt idx="158">
                  <c:v>-96.240407343449576</c:v>
                </c:pt>
                <c:pt idx="159">
                  <c:v>-96.415161648954054</c:v>
                </c:pt>
                <c:pt idx="160">
                  <c:v>-96.591292853654096</c:v>
                </c:pt>
                <c:pt idx="161">
                  <c:v>-96.768757110226474</c:v>
                </c:pt>
                <c:pt idx="162">
                  <c:v>-96.947510353388736</c:v>
                </c:pt>
                <c:pt idx="163">
                  <c:v>-97.127508406095842</c:v>
                </c:pt>
                <c:pt idx="164">
                  <c:v>-97.308707077270483</c:v>
                </c:pt>
                <c:pt idx="165">
                  <c:v>-97.491062251547589</c:v>
                </c:pt>
                <c:pt idx="166">
                  <c:v>-97.674529971487473</c:v>
                </c:pt>
                <c:pt idx="167">
                  <c:v>-97.859066512691925</c:v>
                </c:pt>
                <c:pt idx="168">
                  <c:v>-98.044628452238641</c:v>
                </c:pt>
                <c:pt idx="169">
                  <c:v>-98.231172730824227</c:v>
                </c:pt>
                <c:pt idx="170">
                  <c:v>-98.418656708996593</c:v>
                </c:pt>
                <c:pt idx="171">
                  <c:v>-98.607038217832454</c:v>
                </c:pt>
                <c:pt idx="172">
                  <c:v>-98.796275604406119</c:v>
                </c:pt>
                <c:pt idx="173">
                  <c:v>-98.986327772377095</c:v>
                </c:pt>
                <c:pt idx="174">
                  <c:v>-99.17715421800861</c:v>
                </c:pt>
                <c:pt idx="175">
                  <c:v>-99.368715061915807</c:v>
                </c:pt>
                <c:pt idx="176">
                  <c:v>-99.560971076832587</c:v>
                </c:pt>
                <c:pt idx="177">
                  <c:v>-99.753883711661118</c:v>
                </c:pt>
                <c:pt idx="178">
                  <c:v>-99.947415112070914</c:v>
                </c:pt>
                <c:pt idx="179">
                  <c:v>-100.1415281378838</c:v>
                </c:pt>
                <c:pt idx="180">
                  <c:v>-100.33618637748769</c:v>
                </c:pt>
                <c:pt idx="181">
                  <c:v>-100.53135415949302</c:v>
                </c:pt>
                <c:pt idx="182">
                  <c:v>-100.72699656184351</c:v>
                </c:pt>
                <c:pt idx="183">
                  <c:v>-100.92307941858213</c:v>
                </c:pt>
                <c:pt idx="184">
                  <c:v>-101.11956932445506</c:v>
                </c:pt>
                <c:pt idx="185">
                  <c:v>-101.31643363753501</c:v>
                </c:pt>
                <c:pt idx="186">
                  <c:v>-101.51364048002679</c:v>
                </c:pt>
                <c:pt idx="187">
                  <c:v>-101.71115873741512</c:v>
                </c:pt>
                <c:pt idx="188">
                  <c:v>-101.90895805609952</c:v>
                </c:pt>
                <c:pt idx="189">
                  <c:v>-102.10700883965713</c:v>
                </c:pt>
                <c:pt idx="190">
                  <c:v>-102.30528224386144</c:v>
                </c:pt>
                <c:pt idx="191">
                  <c:v>-102.50375017057961</c:v>
                </c:pt>
                <c:pt idx="192">
                  <c:v>-102.70238526066082</c:v>
                </c:pt>
                <c:pt idx="193">
                  <c:v>-102.90116088592386</c:v>
                </c:pt>
                <c:pt idx="194">
                  <c:v>-103.10005114034048</c:v>
                </c:pt>
                <c:pt idx="195">
                  <c:v>-103.29903083050731</c:v>
                </c:pt>
                <c:pt idx="196">
                  <c:v>-103.49807546549395</c:v>
                </c:pt>
                <c:pt idx="197">
                  <c:v>-103.69716124614291</c:v>
                </c:pt>
                <c:pt idx="198">
                  <c:v>-103.89626505389872</c:v>
                </c:pt>
                <c:pt idx="199">
                  <c:v>-104.09536443923103</c:v>
                </c:pt>
                <c:pt idx="200">
                  <c:v>-106.08162997722556</c:v>
                </c:pt>
                <c:pt idx="201">
                  <c:v>-108.04724631233528</c:v>
                </c:pt>
                <c:pt idx="202">
                  <c:v>-109.97884001062657</c:v>
                </c:pt>
                <c:pt idx="203">
                  <c:v>-111.86705132725849</c:v>
                </c:pt>
                <c:pt idx="204">
                  <c:v>-113.70554953739271</c:v>
                </c:pt>
                <c:pt idx="205">
                  <c:v>-115.49025796193861</c:v>
                </c:pt>
                <c:pt idx="206">
                  <c:v>-117.21876474442107</c:v>
                </c:pt>
                <c:pt idx="207">
                  <c:v>-118.88988277512394</c:v>
                </c:pt>
                <c:pt idx="208">
                  <c:v>-120.50332354789856</c:v>
                </c:pt>
                <c:pt idx="209">
                  <c:v>-122.05945578413903</c:v>
                </c:pt>
                <c:pt idx="210">
                  <c:v>-123.55912631444757</c:v>
                </c:pt>
                <c:pt idx="211">
                  <c:v>-125.00352648472405</c:v>
                </c:pt>
                <c:pt idx="212">
                  <c:v>-126.39409189492154</c:v>
                </c:pt>
                <c:pt idx="213">
                  <c:v>-127.73242667234395</c:v>
                </c:pt>
                <c:pt idx="214">
                  <c:v>-129.02024594663362</c:v>
                </c:pt>
                <c:pt idx="215">
                  <c:v>-130.25933195693844</c:v>
                </c:pt>
                <c:pt idx="216">
                  <c:v>-131.4515004737913</c:v>
                </c:pt>
                <c:pt idx="217">
                  <c:v>-132.59857510572661</c:v>
                </c:pt>
                <c:pt idx="218">
                  <c:v>-133.70236769141599</c:v>
                </c:pt>
                <c:pt idx="219">
                  <c:v>-134.76466342910524</c:v>
                </c:pt>
                <c:pt idx="220">
                  <c:v>-135.78720972042893</c:v>
                </c:pt>
                <c:pt idx="221">
                  <c:v>-136.7717079429259</c:v>
                </c:pt>
                <c:pt idx="222">
                  <c:v>-137.71980754072649</c:v>
                </c:pt>
                <c:pt idx="223">
                  <c:v>-138.63310195401857</c:v>
                </c:pt>
                <c:pt idx="224">
                  <c:v>-139.51312600738112</c:v>
                </c:pt>
                <c:pt idx="225">
                  <c:v>-140.36135445361674</c:v>
                </c:pt>
                <c:pt idx="226">
                  <c:v>-141.17920142936796</c:v>
                </c:pt>
                <c:pt idx="227">
                  <c:v>-141.96802062580579</c:v>
                </c:pt>
                <c:pt idx="228">
                  <c:v>-142.72910601514855</c:v>
                </c:pt>
                <c:pt idx="229">
                  <c:v>-143.46369300384873</c:v>
                </c:pt>
                <c:pt idx="230">
                  <c:v>-144.17295990764634</c:v>
                </c:pt>
                <c:pt idx="231">
                  <c:v>-144.85802966350545</c:v>
                </c:pt>
                <c:pt idx="232">
                  <c:v>-145.51997170965325</c:v>
                </c:pt>
                <c:pt idx="233">
                  <c:v>-146.15980397822202</c:v>
                </c:pt>
                <c:pt idx="234">
                  <c:v>-146.77849495591275</c:v>
                </c:pt>
                <c:pt idx="235">
                  <c:v>-147.37696577707001</c:v>
                </c:pt>
                <c:pt idx="236">
                  <c:v>-147.9560923209396</c:v>
                </c:pt>
                <c:pt idx="237">
                  <c:v>-148.51670729095557</c:v>
                </c:pt>
                <c:pt idx="238">
                  <c:v>-149.05960225887898</c:v>
                </c:pt>
                <c:pt idx="239">
                  <c:v>-149.58552966069743</c:v>
                </c:pt>
                <c:pt idx="240">
                  <c:v>-150.09520473453048</c:v>
                </c:pt>
                <c:pt idx="241">
                  <c:v>-150.58930739350166</c:v>
                </c:pt>
                <c:pt idx="242">
                  <c:v>-151.06848402874678</c:v>
                </c:pt>
                <c:pt idx="243">
                  <c:v>-151.53334923949757</c:v>
                </c:pt>
                <c:pt idx="244">
                  <c:v>-151.98448748861472</c:v>
                </c:pt>
                <c:pt idx="245">
                  <c:v>-152.42245468307345</c:v>
                </c:pt>
                <c:pt idx="246">
                  <c:v>-152.8477796797971</c:v>
                </c:pt>
                <c:pt idx="247">
                  <c:v>-153.26096571793454</c:v>
                </c:pt>
                <c:pt idx="248">
                  <c:v>-153.66249177920542</c:v>
                </c:pt>
                <c:pt idx="249">
                  <c:v>-154.05281387833818</c:v>
                </c:pt>
                <c:pt idx="250">
                  <c:v>-154.43236628591842</c:v>
                </c:pt>
                <c:pt idx="251">
                  <c:v>-154.8015626861644</c:v>
                </c:pt>
                <c:pt idx="252">
                  <c:v>-155.16079727228285</c:v>
                </c:pt>
                <c:pt idx="253">
                  <c:v>-155.5104457821258</c:v>
                </c:pt>
                <c:pt idx="254">
                  <c:v>-155.85086647690474</c:v>
                </c:pt>
                <c:pt idx="255">
                  <c:v>-156.18240106570786</c:v>
                </c:pt>
                <c:pt idx="256">
                  <c:v>-156.50537557852985</c:v>
                </c:pt>
                <c:pt idx="257">
                  <c:v>-156.82010119046996</c:v>
                </c:pt>
                <c:pt idx="258">
                  <c:v>-157.1268749996801</c:v>
                </c:pt>
                <c:pt idx="259">
                  <c:v>-157.42598076155747</c:v>
                </c:pt>
                <c:pt idx="260">
                  <c:v>-157.71768958158879</c:v>
                </c:pt>
                <c:pt idx="261">
                  <c:v>-158.00226056914801</c:v>
                </c:pt>
                <c:pt idx="262">
                  <c:v>-158.27994145445291</c:v>
                </c:pt>
                <c:pt idx="263">
                  <c:v>-158.55096917078137</c:v>
                </c:pt>
                <c:pt idx="264">
                  <c:v>-158.81557040394159</c:v>
                </c:pt>
                <c:pt idx="265">
                  <c:v>-159.07396211089562</c:v>
                </c:pt>
                <c:pt idx="266">
                  <c:v>-159.32635200932947</c:v>
                </c:pt>
                <c:pt idx="267">
                  <c:v>-159.57293903986852</c:v>
                </c:pt>
                <c:pt idx="268">
                  <c:v>-159.81391380254331</c:v>
                </c:pt>
                <c:pt idx="269">
                  <c:v>-160.04945896901987</c:v>
                </c:pt>
                <c:pt idx="270">
                  <c:v>-160.27974967202138</c:v>
                </c:pt>
                <c:pt idx="271">
                  <c:v>-160.50495387328783</c:v>
                </c:pt>
                <c:pt idx="272">
                  <c:v>-160.7252327113352</c:v>
                </c:pt>
                <c:pt idx="273">
                  <c:v>-160.94074083020956</c:v>
                </c:pt>
                <c:pt idx="274">
                  <c:v>-161.15162669035314</c:v>
                </c:pt>
                <c:pt idx="275">
                  <c:v>-161.35803286263547</c:v>
                </c:pt>
                <c:pt idx="276">
                  <c:v>-161.56009630653725</c:v>
                </c:pt>
                <c:pt idx="277">
                  <c:v>-161.75794863341801</c:v>
                </c:pt>
                <c:pt idx="278">
                  <c:v>-161.95171635573848</c:v>
                </c:pt>
                <c:pt idx="279">
                  <c:v>-162.14152112305575</c:v>
                </c:pt>
                <c:pt idx="280">
                  <c:v>-162.32747994556223</c:v>
                </c:pt>
                <c:pt idx="281">
                  <c:v>-162.50970540588941</c:v>
                </c:pt>
                <c:pt idx="282">
                  <c:v>-162.68830585985452</c:v>
                </c:pt>
                <c:pt idx="283">
                  <c:v>-162.8633856267852</c:v>
                </c:pt>
                <c:pt idx="284">
                  <c:v>-163.03504517002179</c:v>
                </c:pt>
                <c:pt idx="285">
                  <c:v>-163.20338126815534</c:v>
                </c:pt>
                <c:pt idx="286">
                  <c:v>-163.36848717753102</c:v>
                </c:pt>
                <c:pt idx="287">
                  <c:v>-163.53045278650853</c:v>
                </c:pt>
                <c:pt idx="288">
                  <c:v>-163.68936476194594</c:v>
                </c:pt>
                <c:pt idx="289">
                  <c:v>-163.84530668834202</c:v>
                </c:pt>
                <c:pt idx="290">
                  <c:v>-165.25780416751459</c:v>
                </c:pt>
                <c:pt idx="291">
                  <c:v>-166.44671014036891</c:v>
                </c:pt>
                <c:pt idx="292">
                  <c:v>-167.46054022000982</c:v>
                </c:pt>
                <c:pt idx="293">
                  <c:v>-168.33488535713551</c:v>
                </c:pt>
                <c:pt idx="294">
                  <c:v>-169.09639975572858</c:v>
                </c:pt>
                <c:pt idx="295">
                  <c:v>-169.76541354117649</c:v>
                </c:pt>
                <c:pt idx="296">
                  <c:v>-170.35768775691713</c:v>
                </c:pt>
                <c:pt idx="297">
                  <c:v>-170.88562025981358</c:v>
                </c:pt>
                <c:pt idx="298">
                  <c:v>-171.35909149760909</c:v>
                </c:pt>
                <c:pt idx="299">
                  <c:v>-171.78606885046185</c:v>
                </c:pt>
                <c:pt idx="300">
                  <c:v>-172.17304581634056</c:v>
                </c:pt>
                <c:pt idx="301">
                  <c:v>-172.52536612417057</c:v>
                </c:pt>
                <c:pt idx="302">
                  <c:v>-172.84746631030694</c:v>
                </c:pt>
                <c:pt idx="303">
                  <c:v>-173.14305962226709</c:v>
                </c:pt>
                <c:pt idx="304">
                  <c:v>-173.41527709919254</c:v>
                </c:pt>
                <c:pt idx="305">
                  <c:v>-173.66677698582754</c:v>
                </c:pt>
                <c:pt idx="306">
                  <c:v>-173.89983044565673</c:v>
                </c:pt>
                <c:pt idx="307">
                  <c:v>-174.11638933564063</c:v>
                </c:pt>
                <c:pt idx="308">
                  <c:v>-174.31814026230131</c:v>
                </c:pt>
                <c:pt idx="309">
                  <c:v>-174.50654804447592</c:v>
                </c:pt>
                <c:pt idx="310">
                  <c:v>-174.68289092207488</c:v>
                </c:pt>
                <c:pt idx="311">
                  <c:v>-174.84828927925108</c:v>
                </c:pt>
                <c:pt idx="312">
                  <c:v>-175.00372923120864</c:v>
                </c:pt>
                <c:pt idx="313">
                  <c:v>-175.1500821130258</c:v>
                </c:pt>
                <c:pt idx="314">
                  <c:v>-175.28812067616602</c:v>
                </c:pt>
                <c:pt idx="315">
                  <c:v>-175.41853262260432</c:v>
                </c:pt>
                <c:pt idx="316">
                  <c:v>-175.5419319726625</c:v>
                </c:pt>
                <c:pt idx="317">
                  <c:v>-175.65886865991143</c:v>
                </c:pt>
                <c:pt idx="318">
                  <c:v>-175.76983666706349</c:v>
                </c:pt>
                <c:pt idx="319">
                  <c:v>-175.87528095491319</c:v>
                </c:pt>
                <c:pt idx="320">
                  <c:v>-175.97560338788685</c:v>
                </c:pt>
                <c:pt idx="321">
                  <c:v>-176.07116782150203</c:v>
                </c:pt>
                <c:pt idx="322">
                  <c:v>-176.16230448666946</c:v>
                </c:pt>
                <c:pt idx="323">
                  <c:v>-176.24931378153198</c:v>
                </c:pt>
                <c:pt idx="324">
                  <c:v>-176.33246956208103</c:v>
                </c:pt>
                <c:pt idx="325">
                  <c:v>-176.41202200709424</c:v>
                </c:pt>
                <c:pt idx="326">
                  <c:v>-176.48820012021585</c:v>
                </c:pt>
                <c:pt idx="327">
                  <c:v>-176.56121392163431</c:v>
                </c:pt>
                <c:pt idx="328">
                  <c:v>-176.63125637332919</c:v>
                </c:pt>
                <c:pt idx="329">
                  <c:v>-176.69850507488826</c:v>
                </c:pt>
                <c:pt idx="330">
                  <c:v>-176.76312376114396</c:v>
                </c:pt>
                <c:pt idx="331">
                  <c:v>-176.82526362810864</c:v>
                </c:pt>
                <c:pt idx="332">
                  <c:v>-176.88506450972625</c:v>
                </c:pt>
                <c:pt idx="333">
                  <c:v>-176.94265592464657</c:v>
                </c:pt>
                <c:pt idx="334">
                  <c:v>-176.99815800945515</c:v>
                </c:pt>
                <c:pt idx="335">
                  <c:v>-177.05168235246308</c:v>
                </c:pt>
                <c:pt idx="336">
                  <c:v>-177.1033327401932</c:v>
                </c:pt>
                <c:pt idx="337">
                  <c:v>-177.15320582703743</c:v>
                </c:pt>
                <c:pt idx="338">
                  <c:v>-177.20139173714887</c:v>
                </c:pt>
                <c:pt idx="339">
                  <c:v>-177.24797460643109</c:v>
                </c:pt>
                <c:pt idx="340">
                  <c:v>-177.29303307146191</c:v>
                </c:pt>
                <c:pt idx="341">
                  <c:v>-177.3366407113127</c:v>
                </c:pt>
                <c:pt idx="342">
                  <c:v>-177.37886644747076</c:v>
                </c:pt>
                <c:pt idx="343">
                  <c:v>-177.41977490642498</c:v>
                </c:pt>
                <c:pt idx="344">
                  <c:v>-177.45942674891734</c:v>
                </c:pt>
                <c:pt idx="345">
                  <c:v>-177.49787896937968</c:v>
                </c:pt>
                <c:pt idx="346">
                  <c:v>-177.53518516865668</c:v>
                </c:pt>
                <c:pt idx="347">
                  <c:v>-177.57139580275407</c:v>
                </c:pt>
                <c:pt idx="348">
                  <c:v>-177.60655841003322</c:v>
                </c:pt>
                <c:pt idx="349">
                  <c:v>-177.640717819</c:v>
                </c:pt>
                <c:pt idx="350">
                  <c:v>-177.67391633859299</c:v>
                </c:pt>
                <c:pt idx="351">
                  <c:v>-177.70619393266611</c:v>
                </c:pt>
                <c:pt idx="352">
                  <c:v>-177.73758838017613</c:v>
                </c:pt>
                <c:pt idx="353">
                  <c:v>-177.76813542242203</c:v>
                </c:pt>
                <c:pt idx="354">
                  <c:v>-177.79786889854088</c:v>
                </c:pt>
                <c:pt idx="355">
                  <c:v>-177.82682087033766</c:v>
                </c:pt>
                <c:pt idx="356">
                  <c:v>-177.85502173741639</c:v>
                </c:pt>
                <c:pt idx="357">
                  <c:v>-177.88250034347917</c:v>
                </c:pt>
                <c:pt idx="358">
                  <c:v>-177.90928407457415</c:v>
                </c:pt>
                <c:pt idx="359">
                  <c:v>-177.93539894999395</c:v>
                </c:pt>
                <c:pt idx="360">
                  <c:v>-177.96086970645842</c:v>
                </c:pt>
                <c:pt idx="361">
                  <c:v>-177.98571987615335</c:v>
                </c:pt>
                <c:pt idx="362">
                  <c:v>-178.0099718591411</c:v>
                </c:pt>
                <c:pt idx="363">
                  <c:v>-178.03364699061211</c:v>
                </c:pt>
                <c:pt idx="364">
                  <c:v>-178.05676560339958</c:v>
                </c:pt>
                <c:pt idx="365">
                  <c:v>-178.07934708614326</c:v>
                </c:pt>
                <c:pt idx="366">
                  <c:v>-178.10140993745048</c:v>
                </c:pt>
                <c:pt idx="367">
                  <c:v>-178.12297181637248</c:v>
                </c:pt>
                <c:pt idx="368">
                  <c:v>-178.14404958948512</c:v>
                </c:pt>
                <c:pt idx="369">
                  <c:v>-178.16465937483747</c:v>
                </c:pt>
                <c:pt idx="370">
                  <c:v>-178.18481658300843</c:v>
                </c:pt>
                <c:pt idx="371">
                  <c:v>-178.20453595549105</c:v>
                </c:pt>
                <c:pt idx="372">
                  <c:v>-178.22383160060545</c:v>
                </c:pt>
                <c:pt idx="373">
                  <c:v>-178.24271702712366</c:v>
                </c:pt>
                <c:pt idx="374">
                  <c:v>-178.26120517577459</c:v>
                </c:pt>
                <c:pt idx="375">
                  <c:v>-178.27930844878395</c:v>
                </c:pt>
                <c:pt idx="376">
                  <c:v>-178.29703873758962</c:v>
                </c:pt>
                <c:pt idx="377">
                  <c:v>-178.31440744886373</c:v>
                </c:pt>
                <c:pt idx="378">
                  <c:v>-178.3314255289599</c:v>
                </c:pt>
                <c:pt idx="379">
                  <c:v>-178.34810348689632</c:v>
                </c:pt>
              </c:numCache>
            </c:numRef>
          </c:yVal>
          <c:smooth val="1"/>
          <c:extLst>
            <c:ext xmlns:c16="http://schemas.microsoft.com/office/drawing/2014/chart" uri="{C3380CC4-5D6E-409C-BE32-E72D297353CC}">
              <c16:uniqueId val="{00000000-01E6-44FF-AC1F-2FACD9E04281}"/>
            </c:ext>
          </c:extLst>
        </c:ser>
        <c:dLbls>
          <c:showLegendKey val="0"/>
          <c:showVal val="0"/>
          <c:showCatName val="0"/>
          <c:showSerName val="0"/>
          <c:showPercent val="0"/>
          <c:showBubbleSize val="0"/>
        </c:dLbls>
        <c:axId val="1434155088"/>
        <c:axId val="1570699712"/>
      </c:scatterChart>
      <c:valAx>
        <c:axId val="1434155088"/>
        <c:scaling>
          <c:logBase val="10"/>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Transfer Function Comp (db)</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'Loop Gain'!$X$1</c:f>
              <c:strCache>
                <c:ptCount val="1"/>
                <c:pt idx="0">
                  <c:v>Transfer Function Comp(dB)</c:v>
                </c:pt>
              </c:strCache>
            </c:strRef>
          </c:tx>
          <c:spPr>
            <a:ln w="19050" cap="rnd">
              <a:solidFill>
                <a:schemeClr val="accent1"/>
              </a:solidFill>
              <a:round/>
            </a:ln>
            <a:effectLst/>
          </c:spPr>
          <c:marker>
            <c:symbol val="none"/>
          </c:marker>
          <c:xVal>
            <c:numRef>
              <c:f>'Loop Gain'!$A$2:$A$381</c:f>
              <c:numCache>
                <c:formatCode>General</c:formatCode>
                <c:ptCount val="380"/>
                <c:pt idx="0">
                  <c:v>1</c:v>
                </c:pt>
                <c:pt idx="1">
                  <c:v>10</c:v>
                </c:pt>
                <c:pt idx="2">
                  <c:v>20</c:v>
                </c:pt>
                <c:pt idx="3">
                  <c:v>30</c:v>
                </c:pt>
                <c:pt idx="4">
                  <c:v>40</c:v>
                </c:pt>
                <c:pt idx="5">
                  <c:v>50</c:v>
                </c:pt>
                <c:pt idx="6">
                  <c:v>60</c:v>
                </c:pt>
                <c:pt idx="7">
                  <c:v>70</c:v>
                </c:pt>
                <c:pt idx="8">
                  <c:v>80</c:v>
                </c:pt>
                <c:pt idx="9">
                  <c:v>90</c:v>
                </c:pt>
                <c:pt idx="10">
                  <c:v>100</c:v>
                </c:pt>
                <c:pt idx="11">
                  <c:v>200</c:v>
                </c:pt>
                <c:pt idx="12">
                  <c:v>300</c:v>
                </c:pt>
                <c:pt idx="13">
                  <c:v>400</c:v>
                </c:pt>
                <c:pt idx="14">
                  <c:v>500</c:v>
                </c:pt>
                <c:pt idx="15">
                  <c:v>600</c:v>
                </c:pt>
                <c:pt idx="16">
                  <c:v>700</c:v>
                </c:pt>
                <c:pt idx="17">
                  <c:v>800</c:v>
                </c:pt>
                <c:pt idx="18">
                  <c:v>900</c:v>
                </c:pt>
                <c:pt idx="19">
                  <c:v>1000</c:v>
                </c:pt>
                <c:pt idx="20">
                  <c:v>1100</c:v>
                </c:pt>
                <c:pt idx="21">
                  <c:v>1200</c:v>
                </c:pt>
                <c:pt idx="22">
                  <c:v>1300</c:v>
                </c:pt>
                <c:pt idx="23">
                  <c:v>1400</c:v>
                </c:pt>
                <c:pt idx="24">
                  <c:v>1500</c:v>
                </c:pt>
                <c:pt idx="25">
                  <c:v>1600</c:v>
                </c:pt>
                <c:pt idx="26">
                  <c:v>1700</c:v>
                </c:pt>
                <c:pt idx="27">
                  <c:v>1800</c:v>
                </c:pt>
                <c:pt idx="28">
                  <c:v>1900</c:v>
                </c:pt>
                <c:pt idx="29">
                  <c:v>2000</c:v>
                </c:pt>
                <c:pt idx="30">
                  <c:v>2100</c:v>
                </c:pt>
                <c:pt idx="31">
                  <c:v>2200</c:v>
                </c:pt>
                <c:pt idx="32">
                  <c:v>2300</c:v>
                </c:pt>
                <c:pt idx="33">
                  <c:v>2400</c:v>
                </c:pt>
                <c:pt idx="34">
                  <c:v>2500</c:v>
                </c:pt>
                <c:pt idx="35">
                  <c:v>2600</c:v>
                </c:pt>
                <c:pt idx="36">
                  <c:v>2700</c:v>
                </c:pt>
                <c:pt idx="37">
                  <c:v>2800</c:v>
                </c:pt>
                <c:pt idx="38">
                  <c:v>2900</c:v>
                </c:pt>
                <c:pt idx="39">
                  <c:v>3000</c:v>
                </c:pt>
                <c:pt idx="40">
                  <c:v>3100</c:v>
                </c:pt>
                <c:pt idx="41">
                  <c:v>3200</c:v>
                </c:pt>
                <c:pt idx="42">
                  <c:v>3300</c:v>
                </c:pt>
                <c:pt idx="43">
                  <c:v>3400</c:v>
                </c:pt>
                <c:pt idx="44">
                  <c:v>3500</c:v>
                </c:pt>
                <c:pt idx="45">
                  <c:v>3600</c:v>
                </c:pt>
                <c:pt idx="46">
                  <c:v>3700</c:v>
                </c:pt>
                <c:pt idx="47">
                  <c:v>3800</c:v>
                </c:pt>
                <c:pt idx="48">
                  <c:v>3900</c:v>
                </c:pt>
                <c:pt idx="49">
                  <c:v>4000</c:v>
                </c:pt>
                <c:pt idx="50">
                  <c:v>4100</c:v>
                </c:pt>
                <c:pt idx="51">
                  <c:v>4200</c:v>
                </c:pt>
                <c:pt idx="52">
                  <c:v>4300</c:v>
                </c:pt>
                <c:pt idx="53">
                  <c:v>4400</c:v>
                </c:pt>
                <c:pt idx="54">
                  <c:v>4500</c:v>
                </c:pt>
                <c:pt idx="55">
                  <c:v>4600</c:v>
                </c:pt>
                <c:pt idx="56">
                  <c:v>4700</c:v>
                </c:pt>
                <c:pt idx="57">
                  <c:v>4800</c:v>
                </c:pt>
                <c:pt idx="58">
                  <c:v>4900</c:v>
                </c:pt>
                <c:pt idx="59">
                  <c:v>5000</c:v>
                </c:pt>
                <c:pt idx="60">
                  <c:v>5100</c:v>
                </c:pt>
                <c:pt idx="61">
                  <c:v>5200</c:v>
                </c:pt>
                <c:pt idx="62">
                  <c:v>5300</c:v>
                </c:pt>
                <c:pt idx="63">
                  <c:v>5400</c:v>
                </c:pt>
                <c:pt idx="64">
                  <c:v>5500</c:v>
                </c:pt>
                <c:pt idx="65">
                  <c:v>5600</c:v>
                </c:pt>
                <c:pt idx="66">
                  <c:v>5700</c:v>
                </c:pt>
                <c:pt idx="67">
                  <c:v>5800</c:v>
                </c:pt>
                <c:pt idx="68">
                  <c:v>5900</c:v>
                </c:pt>
                <c:pt idx="69">
                  <c:v>6000</c:v>
                </c:pt>
                <c:pt idx="70">
                  <c:v>6100</c:v>
                </c:pt>
                <c:pt idx="71">
                  <c:v>6200</c:v>
                </c:pt>
                <c:pt idx="72">
                  <c:v>6300</c:v>
                </c:pt>
                <c:pt idx="73">
                  <c:v>6400</c:v>
                </c:pt>
                <c:pt idx="74">
                  <c:v>6500</c:v>
                </c:pt>
                <c:pt idx="75">
                  <c:v>6600</c:v>
                </c:pt>
                <c:pt idx="76">
                  <c:v>6700</c:v>
                </c:pt>
                <c:pt idx="77">
                  <c:v>6800</c:v>
                </c:pt>
                <c:pt idx="78">
                  <c:v>6900</c:v>
                </c:pt>
                <c:pt idx="79">
                  <c:v>7000</c:v>
                </c:pt>
                <c:pt idx="80">
                  <c:v>7100</c:v>
                </c:pt>
                <c:pt idx="81">
                  <c:v>7200</c:v>
                </c:pt>
                <c:pt idx="82">
                  <c:v>7300</c:v>
                </c:pt>
                <c:pt idx="83">
                  <c:v>7400</c:v>
                </c:pt>
                <c:pt idx="84">
                  <c:v>7500</c:v>
                </c:pt>
                <c:pt idx="85">
                  <c:v>7600</c:v>
                </c:pt>
                <c:pt idx="86">
                  <c:v>7700</c:v>
                </c:pt>
                <c:pt idx="87">
                  <c:v>7800</c:v>
                </c:pt>
                <c:pt idx="88">
                  <c:v>7900</c:v>
                </c:pt>
                <c:pt idx="89">
                  <c:v>8000</c:v>
                </c:pt>
                <c:pt idx="90">
                  <c:v>8100</c:v>
                </c:pt>
                <c:pt idx="91">
                  <c:v>8200</c:v>
                </c:pt>
                <c:pt idx="92">
                  <c:v>8300</c:v>
                </c:pt>
                <c:pt idx="93">
                  <c:v>8400</c:v>
                </c:pt>
                <c:pt idx="94">
                  <c:v>8500</c:v>
                </c:pt>
                <c:pt idx="95">
                  <c:v>8600</c:v>
                </c:pt>
                <c:pt idx="96">
                  <c:v>8700</c:v>
                </c:pt>
                <c:pt idx="97">
                  <c:v>8800</c:v>
                </c:pt>
                <c:pt idx="98">
                  <c:v>8900</c:v>
                </c:pt>
                <c:pt idx="99">
                  <c:v>9000</c:v>
                </c:pt>
                <c:pt idx="100">
                  <c:v>9100</c:v>
                </c:pt>
                <c:pt idx="101">
                  <c:v>9200</c:v>
                </c:pt>
                <c:pt idx="102">
                  <c:v>9300</c:v>
                </c:pt>
                <c:pt idx="103">
                  <c:v>9400</c:v>
                </c:pt>
                <c:pt idx="104">
                  <c:v>9500</c:v>
                </c:pt>
                <c:pt idx="105">
                  <c:v>9600</c:v>
                </c:pt>
                <c:pt idx="106">
                  <c:v>9700</c:v>
                </c:pt>
                <c:pt idx="107">
                  <c:v>9800</c:v>
                </c:pt>
                <c:pt idx="108">
                  <c:v>9900</c:v>
                </c:pt>
                <c:pt idx="109">
                  <c:v>10000</c:v>
                </c:pt>
                <c:pt idx="110">
                  <c:v>11000</c:v>
                </c:pt>
                <c:pt idx="111">
                  <c:v>12000</c:v>
                </c:pt>
                <c:pt idx="112">
                  <c:v>13000</c:v>
                </c:pt>
                <c:pt idx="113">
                  <c:v>14000</c:v>
                </c:pt>
                <c:pt idx="114">
                  <c:v>15000</c:v>
                </c:pt>
                <c:pt idx="115">
                  <c:v>16000</c:v>
                </c:pt>
                <c:pt idx="116">
                  <c:v>17000</c:v>
                </c:pt>
                <c:pt idx="117">
                  <c:v>18000</c:v>
                </c:pt>
                <c:pt idx="118">
                  <c:v>19000</c:v>
                </c:pt>
                <c:pt idx="119">
                  <c:v>20000</c:v>
                </c:pt>
                <c:pt idx="120">
                  <c:v>21000</c:v>
                </c:pt>
                <c:pt idx="121">
                  <c:v>22000</c:v>
                </c:pt>
                <c:pt idx="122">
                  <c:v>23000</c:v>
                </c:pt>
                <c:pt idx="123">
                  <c:v>24000</c:v>
                </c:pt>
                <c:pt idx="124">
                  <c:v>25000</c:v>
                </c:pt>
                <c:pt idx="125">
                  <c:v>26000</c:v>
                </c:pt>
                <c:pt idx="126">
                  <c:v>27000</c:v>
                </c:pt>
                <c:pt idx="127">
                  <c:v>28000</c:v>
                </c:pt>
                <c:pt idx="128">
                  <c:v>29000</c:v>
                </c:pt>
                <c:pt idx="129">
                  <c:v>30000</c:v>
                </c:pt>
                <c:pt idx="130">
                  <c:v>31000</c:v>
                </c:pt>
                <c:pt idx="131">
                  <c:v>32000</c:v>
                </c:pt>
                <c:pt idx="132">
                  <c:v>33000</c:v>
                </c:pt>
                <c:pt idx="133">
                  <c:v>34000</c:v>
                </c:pt>
                <c:pt idx="134">
                  <c:v>35000</c:v>
                </c:pt>
                <c:pt idx="135">
                  <c:v>36000</c:v>
                </c:pt>
                <c:pt idx="136">
                  <c:v>37000</c:v>
                </c:pt>
                <c:pt idx="137">
                  <c:v>38000</c:v>
                </c:pt>
                <c:pt idx="138">
                  <c:v>39000</c:v>
                </c:pt>
                <c:pt idx="139">
                  <c:v>40000</c:v>
                </c:pt>
                <c:pt idx="140">
                  <c:v>41000</c:v>
                </c:pt>
                <c:pt idx="141">
                  <c:v>42000</c:v>
                </c:pt>
                <c:pt idx="142">
                  <c:v>43000</c:v>
                </c:pt>
                <c:pt idx="143">
                  <c:v>44000</c:v>
                </c:pt>
                <c:pt idx="144">
                  <c:v>45000</c:v>
                </c:pt>
                <c:pt idx="145">
                  <c:v>46000</c:v>
                </c:pt>
                <c:pt idx="146">
                  <c:v>47000</c:v>
                </c:pt>
                <c:pt idx="147">
                  <c:v>48000</c:v>
                </c:pt>
                <c:pt idx="148">
                  <c:v>49000</c:v>
                </c:pt>
                <c:pt idx="149">
                  <c:v>50000</c:v>
                </c:pt>
                <c:pt idx="150">
                  <c:v>51000</c:v>
                </c:pt>
                <c:pt idx="151">
                  <c:v>52000</c:v>
                </c:pt>
                <c:pt idx="152">
                  <c:v>53000</c:v>
                </c:pt>
                <c:pt idx="153">
                  <c:v>54000</c:v>
                </c:pt>
                <c:pt idx="154">
                  <c:v>55000</c:v>
                </c:pt>
                <c:pt idx="155">
                  <c:v>56000</c:v>
                </c:pt>
                <c:pt idx="156">
                  <c:v>57000</c:v>
                </c:pt>
                <c:pt idx="157">
                  <c:v>58000</c:v>
                </c:pt>
                <c:pt idx="158">
                  <c:v>59000</c:v>
                </c:pt>
                <c:pt idx="159">
                  <c:v>60000</c:v>
                </c:pt>
                <c:pt idx="160">
                  <c:v>61000</c:v>
                </c:pt>
                <c:pt idx="161">
                  <c:v>62000</c:v>
                </c:pt>
                <c:pt idx="162">
                  <c:v>63000</c:v>
                </c:pt>
                <c:pt idx="163">
                  <c:v>64000</c:v>
                </c:pt>
                <c:pt idx="164">
                  <c:v>65000</c:v>
                </c:pt>
                <c:pt idx="165">
                  <c:v>66000</c:v>
                </c:pt>
                <c:pt idx="166">
                  <c:v>67000</c:v>
                </c:pt>
                <c:pt idx="167">
                  <c:v>68000</c:v>
                </c:pt>
                <c:pt idx="168">
                  <c:v>69000</c:v>
                </c:pt>
                <c:pt idx="169">
                  <c:v>70000</c:v>
                </c:pt>
                <c:pt idx="170">
                  <c:v>71000</c:v>
                </c:pt>
                <c:pt idx="171">
                  <c:v>72000</c:v>
                </c:pt>
                <c:pt idx="172">
                  <c:v>73000</c:v>
                </c:pt>
                <c:pt idx="173">
                  <c:v>74000</c:v>
                </c:pt>
                <c:pt idx="174">
                  <c:v>75000</c:v>
                </c:pt>
                <c:pt idx="175">
                  <c:v>76000</c:v>
                </c:pt>
                <c:pt idx="176">
                  <c:v>77000</c:v>
                </c:pt>
                <c:pt idx="177">
                  <c:v>78000</c:v>
                </c:pt>
                <c:pt idx="178">
                  <c:v>79000</c:v>
                </c:pt>
                <c:pt idx="179">
                  <c:v>80000</c:v>
                </c:pt>
                <c:pt idx="180">
                  <c:v>81000</c:v>
                </c:pt>
                <c:pt idx="181">
                  <c:v>82000</c:v>
                </c:pt>
                <c:pt idx="182">
                  <c:v>83000</c:v>
                </c:pt>
                <c:pt idx="183">
                  <c:v>84000</c:v>
                </c:pt>
                <c:pt idx="184">
                  <c:v>85000</c:v>
                </c:pt>
                <c:pt idx="185">
                  <c:v>86000</c:v>
                </c:pt>
                <c:pt idx="186">
                  <c:v>87000</c:v>
                </c:pt>
                <c:pt idx="187">
                  <c:v>88000</c:v>
                </c:pt>
                <c:pt idx="188">
                  <c:v>89000</c:v>
                </c:pt>
                <c:pt idx="189">
                  <c:v>90000</c:v>
                </c:pt>
                <c:pt idx="190">
                  <c:v>91000</c:v>
                </c:pt>
                <c:pt idx="191">
                  <c:v>92000</c:v>
                </c:pt>
                <c:pt idx="192">
                  <c:v>93000</c:v>
                </c:pt>
                <c:pt idx="193">
                  <c:v>94000</c:v>
                </c:pt>
                <c:pt idx="194">
                  <c:v>95000</c:v>
                </c:pt>
                <c:pt idx="195">
                  <c:v>96000</c:v>
                </c:pt>
                <c:pt idx="196">
                  <c:v>97000</c:v>
                </c:pt>
                <c:pt idx="197">
                  <c:v>98000</c:v>
                </c:pt>
                <c:pt idx="198">
                  <c:v>99000</c:v>
                </c:pt>
                <c:pt idx="199">
                  <c:v>100000</c:v>
                </c:pt>
                <c:pt idx="200">
                  <c:v>110000</c:v>
                </c:pt>
                <c:pt idx="201">
                  <c:v>120000</c:v>
                </c:pt>
                <c:pt idx="202">
                  <c:v>130000</c:v>
                </c:pt>
                <c:pt idx="203">
                  <c:v>140000</c:v>
                </c:pt>
                <c:pt idx="204">
                  <c:v>150000</c:v>
                </c:pt>
                <c:pt idx="205">
                  <c:v>160000</c:v>
                </c:pt>
                <c:pt idx="206">
                  <c:v>170000</c:v>
                </c:pt>
                <c:pt idx="207">
                  <c:v>180000</c:v>
                </c:pt>
                <c:pt idx="208">
                  <c:v>190000</c:v>
                </c:pt>
                <c:pt idx="209">
                  <c:v>200000</c:v>
                </c:pt>
                <c:pt idx="210">
                  <c:v>210000</c:v>
                </c:pt>
                <c:pt idx="211">
                  <c:v>220000</c:v>
                </c:pt>
                <c:pt idx="212">
                  <c:v>230000</c:v>
                </c:pt>
                <c:pt idx="213">
                  <c:v>240000</c:v>
                </c:pt>
                <c:pt idx="214">
                  <c:v>250000</c:v>
                </c:pt>
                <c:pt idx="215">
                  <c:v>260000</c:v>
                </c:pt>
                <c:pt idx="216">
                  <c:v>270000</c:v>
                </c:pt>
                <c:pt idx="217">
                  <c:v>280000</c:v>
                </c:pt>
                <c:pt idx="218">
                  <c:v>290000</c:v>
                </c:pt>
                <c:pt idx="219">
                  <c:v>300000</c:v>
                </c:pt>
                <c:pt idx="220">
                  <c:v>310000</c:v>
                </c:pt>
                <c:pt idx="221">
                  <c:v>320000</c:v>
                </c:pt>
                <c:pt idx="222">
                  <c:v>330000</c:v>
                </c:pt>
                <c:pt idx="223">
                  <c:v>340000</c:v>
                </c:pt>
                <c:pt idx="224">
                  <c:v>350000</c:v>
                </c:pt>
                <c:pt idx="225">
                  <c:v>360000</c:v>
                </c:pt>
                <c:pt idx="226">
                  <c:v>370000</c:v>
                </c:pt>
                <c:pt idx="227">
                  <c:v>380000</c:v>
                </c:pt>
                <c:pt idx="228">
                  <c:v>390000</c:v>
                </c:pt>
                <c:pt idx="229">
                  <c:v>400000</c:v>
                </c:pt>
                <c:pt idx="230">
                  <c:v>410000</c:v>
                </c:pt>
                <c:pt idx="231">
                  <c:v>420000</c:v>
                </c:pt>
                <c:pt idx="232">
                  <c:v>430000</c:v>
                </c:pt>
                <c:pt idx="233">
                  <c:v>440000</c:v>
                </c:pt>
                <c:pt idx="234">
                  <c:v>450000</c:v>
                </c:pt>
                <c:pt idx="235">
                  <c:v>460000</c:v>
                </c:pt>
                <c:pt idx="236">
                  <c:v>470000</c:v>
                </c:pt>
                <c:pt idx="237">
                  <c:v>480000</c:v>
                </c:pt>
                <c:pt idx="238">
                  <c:v>490000</c:v>
                </c:pt>
                <c:pt idx="239">
                  <c:v>500000</c:v>
                </c:pt>
                <c:pt idx="240">
                  <c:v>510000</c:v>
                </c:pt>
                <c:pt idx="241">
                  <c:v>520000</c:v>
                </c:pt>
                <c:pt idx="242">
                  <c:v>530000</c:v>
                </c:pt>
                <c:pt idx="243">
                  <c:v>540000</c:v>
                </c:pt>
                <c:pt idx="244">
                  <c:v>550000</c:v>
                </c:pt>
                <c:pt idx="245">
                  <c:v>560000</c:v>
                </c:pt>
                <c:pt idx="246">
                  <c:v>570000</c:v>
                </c:pt>
                <c:pt idx="247">
                  <c:v>580000</c:v>
                </c:pt>
                <c:pt idx="248">
                  <c:v>590000</c:v>
                </c:pt>
                <c:pt idx="249">
                  <c:v>600000</c:v>
                </c:pt>
                <c:pt idx="250">
                  <c:v>610000</c:v>
                </c:pt>
                <c:pt idx="251">
                  <c:v>620000</c:v>
                </c:pt>
                <c:pt idx="252">
                  <c:v>630000</c:v>
                </c:pt>
                <c:pt idx="253">
                  <c:v>640000</c:v>
                </c:pt>
                <c:pt idx="254">
                  <c:v>650000</c:v>
                </c:pt>
                <c:pt idx="255">
                  <c:v>660000</c:v>
                </c:pt>
                <c:pt idx="256">
                  <c:v>670000</c:v>
                </c:pt>
                <c:pt idx="257">
                  <c:v>680000</c:v>
                </c:pt>
                <c:pt idx="258">
                  <c:v>690000</c:v>
                </c:pt>
                <c:pt idx="259">
                  <c:v>700000</c:v>
                </c:pt>
                <c:pt idx="260">
                  <c:v>710000</c:v>
                </c:pt>
                <c:pt idx="261">
                  <c:v>720000</c:v>
                </c:pt>
                <c:pt idx="262">
                  <c:v>730000</c:v>
                </c:pt>
                <c:pt idx="263">
                  <c:v>740000</c:v>
                </c:pt>
                <c:pt idx="264">
                  <c:v>750000</c:v>
                </c:pt>
                <c:pt idx="265">
                  <c:v>760000</c:v>
                </c:pt>
                <c:pt idx="266">
                  <c:v>770000</c:v>
                </c:pt>
                <c:pt idx="267">
                  <c:v>780000</c:v>
                </c:pt>
                <c:pt idx="268">
                  <c:v>790000</c:v>
                </c:pt>
                <c:pt idx="269">
                  <c:v>800000</c:v>
                </c:pt>
                <c:pt idx="270">
                  <c:v>810000</c:v>
                </c:pt>
                <c:pt idx="271">
                  <c:v>820000</c:v>
                </c:pt>
                <c:pt idx="272">
                  <c:v>830000</c:v>
                </c:pt>
                <c:pt idx="273">
                  <c:v>840000</c:v>
                </c:pt>
                <c:pt idx="274">
                  <c:v>850000</c:v>
                </c:pt>
                <c:pt idx="275">
                  <c:v>860000</c:v>
                </c:pt>
                <c:pt idx="276">
                  <c:v>870000</c:v>
                </c:pt>
                <c:pt idx="277">
                  <c:v>880000</c:v>
                </c:pt>
                <c:pt idx="278">
                  <c:v>890000</c:v>
                </c:pt>
                <c:pt idx="279">
                  <c:v>900000</c:v>
                </c:pt>
                <c:pt idx="280">
                  <c:v>910000</c:v>
                </c:pt>
                <c:pt idx="281">
                  <c:v>920000</c:v>
                </c:pt>
                <c:pt idx="282">
                  <c:v>930000</c:v>
                </c:pt>
                <c:pt idx="283">
                  <c:v>940000</c:v>
                </c:pt>
                <c:pt idx="284">
                  <c:v>950000</c:v>
                </c:pt>
                <c:pt idx="285">
                  <c:v>960000</c:v>
                </c:pt>
                <c:pt idx="286">
                  <c:v>970000</c:v>
                </c:pt>
                <c:pt idx="287">
                  <c:v>980000</c:v>
                </c:pt>
                <c:pt idx="288">
                  <c:v>990000</c:v>
                </c:pt>
                <c:pt idx="289">
                  <c:v>1000000</c:v>
                </c:pt>
                <c:pt idx="290">
                  <c:v>1100000</c:v>
                </c:pt>
                <c:pt idx="291">
                  <c:v>1200000</c:v>
                </c:pt>
                <c:pt idx="292">
                  <c:v>1300000</c:v>
                </c:pt>
                <c:pt idx="293">
                  <c:v>1400000</c:v>
                </c:pt>
                <c:pt idx="294">
                  <c:v>1500000</c:v>
                </c:pt>
                <c:pt idx="295">
                  <c:v>1600000</c:v>
                </c:pt>
                <c:pt idx="296">
                  <c:v>1700000</c:v>
                </c:pt>
                <c:pt idx="297">
                  <c:v>1800000</c:v>
                </c:pt>
                <c:pt idx="298">
                  <c:v>1900000</c:v>
                </c:pt>
                <c:pt idx="299">
                  <c:v>2000000</c:v>
                </c:pt>
                <c:pt idx="300">
                  <c:v>2100000</c:v>
                </c:pt>
                <c:pt idx="301">
                  <c:v>2200000</c:v>
                </c:pt>
                <c:pt idx="302">
                  <c:v>2300000</c:v>
                </c:pt>
                <c:pt idx="303">
                  <c:v>2400000</c:v>
                </c:pt>
                <c:pt idx="304">
                  <c:v>2500000</c:v>
                </c:pt>
                <c:pt idx="305">
                  <c:v>2600000</c:v>
                </c:pt>
                <c:pt idx="306">
                  <c:v>2700000</c:v>
                </c:pt>
                <c:pt idx="307">
                  <c:v>2800000</c:v>
                </c:pt>
                <c:pt idx="308">
                  <c:v>2900000</c:v>
                </c:pt>
                <c:pt idx="309">
                  <c:v>3000000</c:v>
                </c:pt>
                <c:pt idx="310">
                  <c:v>3100000</c:v>
                </c:pt>
                <c:pt idx="311">
                  <c:v>3200000</c:v>
                </c:pt>
                <c:pt idx="312">
                  <c:v>3300000</c:v>
                </c:pt>
                <c:pt idx="313">
                  <c:v>3400000</c:v>
                </c:pt>
                <c:pt idx="314">
                  <c:v>3500000</c:v>
                </c:pt>
                <c:pt idx="315">
                  <c:v>3600000</c:v>
                </c:pt>
                <c:pt idx="316">
                  <c:v>3700000</c:v>
                </c:pt>
                <c:pt idx="317">
                  <c:v>3800000</c:v>
                </c:pt>
                <c:pt idx="318">
                  <c:v>3900000</c:v>
                </c:pt>
                <c:pt idx="319">
                  <c:v>4000000</c:v>
                </c:pt>
                <c:pt idx="320">
                  <c:v>4100000</c:v>
                </c:pt>
                <c:pt idx="321">
                  <c:v>4200000</c:v>
                </c:pt>
                <c:pt idx="322">
                  <c:v>4300000</c:v>
                </c:pt>
                <c:pt idx="323">
                  <c:v>4400000</c:v>
                </c:pt>
                <c:pt idx="324">
                  <c:v>4500000</c:v>
                </c:pt>
                <c:pt idx="325">
                  <c:v>4600000</c:v>
                </c:pt>
                <c:pt idx="326">
                  <c:v>4700000</c:v>
                </c:pt>
                <c:pt idx="327">
                  <c:v>4800000</c:v>
                </c:pt>
                <c:pt idx="328">
                  <c:v>4900000</c:v>
                </c:pt>
                <c:pt idx="329">
                  <c:v>5000000</c:v>
                </c:pt>
                <c:pt idx="330">
                  <c:v>5100000</c:v>
                </c:pt>
                <c:pt idx="331">
                  <c:v>5200000</c:v>
                </c:pt>
                <c:pt idx="332">
                  <c:v>5300000</c:v>
                </c:pt>
                <c:pt idx="333">
                  <c:v>5400000</c:v>
                </c:pt>
                <c:pt idx="334">
                  <c:v>5500000</c:v>
                </c:pt>
                <c:pt idx="335">
                  <c:v>5600000</c:v>
                </c:pt>
                <c:pt idx="336">
                  <c:v>5700000</c:v>
                </c:pt>
                <c:pt idx="337">
                  <c:v>5800000</c:v>
                </c:pt>
                <c:pt idx="338">
                  <c:v>5900000</c:v>
                </c:pt>
                <c:pt idx="339">
                  <c:v>6000000</c:v>
                </c:pt>
                <c:pt idx="340">
                  <c:v>6100000</c:v>
                </c:pt>
                <c:pt idx="341">
                  <c:v>6200000</c:v>
                </c:pt>
                <c:pt idx="342">
                  <c:v>6300000</c:v>
                </c:pt>
                <c:pt idx="343">
                  <c:v>6400000</c:v>
                </c:pt>
                <c:pt idx="344">
                  <c:v>6500000</c:v>
                </c:pt>
                <c:pt idx="345">
                  <c:v>6600000</c:v>
                </c:pt>
                <c:pt idx="346">
                  <c:v>6700000</c:v>
                </c:pt>
                <c:pt idx="347">
                  <c:v>6800000</c:v>
                </c:pt>
                <c:pt idx="348">
                  <c:v>6900000</c:v>
                </c:pt>
                <c:pt idx="349">
                  <c:v>7000000</c:v>
                </c:pt>
                <c:pt idx="350">
                  <c:v>7100000</c:v>
                </c:pt>
                <c:pt idx="351">
                  <c:v>7200000</c:v>
                </c:pt>
                <c:pt idx="352">
                  <c:v>7300000</c:v>
                </c:pt>
                <c:pt idx="353">
                  <c:v>7400000</c:v>
                </c:pt>
                <c:pt idx="354">
                  <c:v>7500000</c:v>
                </c:pt>
                <c:pt idx="355">
                  <c:v>7600000</c:v>
                </c:pt>
                <c:pt idx="356">
                  <c:v>7700000</c:v>
                </c:pt>
                <c:pt idx="357">
                  <c:v>7800000</c:v>
                </c:pt>
                <c:pt idx="358">
                  <c:v>7900000</c:v>
                </c:pt>
                <c:pt idx="359">
                  <c:v>8000000</c:v>
                </c:pt>
                <c:pt idx="360">
                  <c:v>8100000</c:v>
                </c:pt>
                <c:pt idx="361">
                  <c:v>8200000</c:v>
                </c:pt>
                <c:pt idx="362">
                  <c:v>8300000</c:v>
                </c:pt>
                <c:pt idx="363">
                  <c:v>8400000</c:v>
                </c:pt>
                <c:pt idx="364">
                  <c:v>8500000</c:v>
                </c:pt>
                <c:pt idx="365">
                  <c:v>8600000</c:v>
                </c:pt>
                <c:pt idx="366">
                  <c:v>8700000</c:v>
                </c:pt>
                <c:pt idx="367">
                  <c:v>8800000</c:v>
                </c:pt>
                <c:pt idx="368">
                  <c:v>8900000</c:v>
                </c:pt>
                <c:pt idx="369">
                  <c:v>9000000</c:v>
                </c:pt>
                <c:pt idx="370">
                  <c:v>9100000</c:v>
                </c:pt>
                <c:pt idx="371">
                  <c:v>9200000</c:v>
                </c:pt>
                <c:pt idx="372">
                  <c:v>9300000</c:v>
                </c:pt>
                <c:pt idx="373">
                  <c:v>9400000</c:v>
                </c:pt>
                <c:pt idx="374">
                  <c:v>9500000</c:v>
                </c:pt>
                <c:pt idx="375">
                  <c:v>9600000</c:v>
                </c:pt>
                <c:pt idx="376">
                  <c:v>9700000</c:v>
                </c:pt>
                <c:pt idx="377">
                  <c:v>9800000</c:v>
                </c:pt>
                <c:pt idx="378">
                  <c:v>9900000</c:v>
                </c:pt>
                <c:pt idx="379">
                  <c:v>10000000</c:v>
                </c:pt>
              </c:numCache>
            </c:numRef>
          </c:xVal>
          <c:yVal>
            <c:numRef>
              <c:f>'Loop Gain'!$X$2:$X$381</c:f>
              <c:numCache>
                <c:formatCode>General</c:formatCode>
                <c:ptCount val="380"/>
                <c:pt idx="0">
                  <c:v>52.790656457730393</c:v>
                </c:pt>
                <c:pt idx="1">
                  <c:v>32.790669134402521</c:v>
                </c:pt>
                <c:pt idx="2">
                  <c:v>26.770107635053357</c:v>
                </c:pt>
                <c:pt idx="3">
                  <c:v>23.248346476396957</c:v>
                </c:pt>
                <c:pt idx="4">
                  <c:v>20.749661374074762</c:v>
                </c:pt>
                <c:pt idx="5">
                  <c:v>18.811576349547842</c:v>
                </c:pt>
                <c:pt idx="6">
                  <c:v>17.228092267967845</c:v>
                </c:pt>
                <c:pt idx="7">
                  <c:v>15.889322915958504</c:v>
                </c:pt>
                <c:pt idx="8">
                  <c:v>14.729676015274631</c:v>
                </c:pt>
                <c:pt idx="9">
                  <c:v>13.70684320004486</c:v>
                </c:pt>
                <c:pt idx="10">
                  <c:v>12.791936613523003</c:v>
                </c:pt>
                <c:pt idx="11">
                  <c:v>6.7751752734350976</c:v>
                </c:pt>
                <c:pt idx="12">
                  <c:v>3.259740133332119</c:v>
                </c:pt>
                <c:pt idx="13">
                  <c:v>0.76989558544828118</c:v>
                </c:pt>
                <c:pt idx="14">
                  <c:v>-1.1568501082903877</c:v>
                </c:pt>
                <c:pt idx="15">
                  <c:v>-2.7265161865362844</c:v>
                </c:pt>
                <c:pt idx="16">
                  <c:v>-4.049013194571315</c:v>
                </c:pt>
                <c:pt idx="17">
                  <c:v>-5.1899618315653475</c:v>
                </c:pt>
                <c:pt idx="18">
                  <c:v>-6.1917028129829719</c:v>
                </c:pt>
                <c:pt idx="19">
                  <c:v>-7.0831600940766677</c:v>
                </c:pt>
                <c:pt idx="20">
                  <c:v>-7.8849778591648327</c:v>
                </c:pt>
                <c:pt idx="21">
                  <c:v>-8.61241272551697</c:v>
                </c:pt>
                <c:pt idx="22">
                  <c:v>-9.2770641952938053</c:v>
                </c:pt>
                <c:pt idx="23">
                  <c:v>-9.8879618918161452</c:v>
                </c:pt>
                <c:pt idx="24">
                  <c:v>-10.452276696654923</c:v>
                </c:pt>
                <c:pt idx="25">
                  <c:v>-10.97580182339351</c:v>
                </c:pt>
                <c:pt idx="26">
                  <c:v>-11.463287711661106</c:v>
                </c:pt>
                <c:pt idx="27">
                  <c:v>-11.918680978677845</c:v>
                </c:pt>
                <c:pt idx="28">
                  <c:v>-12.345298610869165</c:v>
                </c:pt>
                <c:pt idx="29">
                  <c:v>-12.745957360584953</c:v>
                </c:pt>
                <c:pt idx="30">
                  <c:v>-13.123071482875899</c:v>
                </c:pt>
                <c:pt idx="31">
                  <c:v>-13.47872766372187</c:v>
                </c:pt>
                <c:pt idx="32">
                  <c:v>-13.814743233318596</c:v>
                </c:pt>
                <c:pt idx="33">
                  <c:v>-14.132711940553605</c:v>
                </c:pt>
                <c:pt idx="34">
                  <c:v>-14.434040341628627</c:v>
                </c:pt>
                <c:pt idx="35">
                  <c:v>-14.719977016821421</c:v>
                </c:pt>
                <c:pt idx="36">
                  <c:v>-14.991636243960942</c:v>
                </c:pt>
                <c:pt idx="37">
                  <c:v>-15.250017342226913</c:v>
                </c:pt>
                <c:pt idx="38">
                  <c:v>-15.49602060148754</c:v>
                </c:pt>
                <c:pt idx="39">
                  <c:v>-15.730460494961569</c:v>
                </c:pt>
                <c:pt idx="40">
                  <c:v>-15.95407671261677</c:v>
                </c:pt>
                <c:pt idx="41">
                  <c:v>-16.16754343308747</c:v>
                </c:pt>
                <c:pt idx="42">
                  <c:v>-16.371477161714488</c:v>
                </c:pt>
                <c:pt idx="43">
                  <c:v>-16.56644339367201</c:v>
                </c:pt>
                <c:pt idx="44">
                  <c:v>-16.752962308426433</c:v>
                </c:pt>
                <c:pt idx="45">
                  <c:v>-16.931513660930261</c:v>
                </c:pt>
                <c:pt idx="46">
                  <c:v>-17.102541003074695</c:v>
                </c:pt>
                <c:pt idx="47">
                  <c:v>-17.26645534384075</c:v>
                </c:pt>
                <c:pt idx="48">
                  <c:v>-17.423638336730939</c:v>
                </c:pt>
                <c:pt idx="49">
                  <c:v>-17.574445067224811</c:v>
                </c:pt>
                <c:pt idx="50">
                  <c:v>-17.719206500305326</c:v>
                </c:pt>
                <c:pt idx="51">
                  <c:v>-17.858231637854622</c:v>
                </c:pt>
                <c:pt idx="52">
                  <c:v>-17.991809427411457</c:v>
                </c:pt>
                <c:pt idx="53">
                  <c:v>-18.120210457006209</c:v>
                </c:pt>
                <c:pt idx="54">
                  <c:v>-18.243688465243356</c:v>
                </c:pt>
                <c:pt idx="55">
                  <c:v>-18.36248169123267</c:v>
                </c:pt>
                <c:pt idx="56">
                  <c:v>-18.476814085201088</c:v>
                </c:pt>
                <c:pt idx="57">
                  <c:v>-18.586896397483521</c:v>
                </c:pt>
                <c:pt idx="58">
                  <c:v>-18.692927160985107</c:v>
                </c:pt>
                <c:pt idx="59">
                  <c:v>-18.795093580026567</c:v>
                </c:pt>
                <c:pt idx="60">
                  <c:v>-18.893572336655488</c:v>
                </c:pt>
                <c:pt idx="61">
                  <c:v>-18.988530323966756</c:v>
                </c:pt>
                <c:pt idx="62">
                  <c:v>-19.080125314675179</c:v>
                </c:pt>
                <c:pt idx="63">
                  <c:v>-19.168506572081757</c:v>
                </c:pt>
                <c:pt idx="64">
                  <c:v>-19.253815409639525</c:v>
                </c:pt>
                <c:pt idx="65">
                  <c:v>-19.336185704527075</c:v>
                </c:pt>
                <c:pt idx="66">
                  <c:v>-19.415744369956865</c:v>
                </c:pt>
                <c:pt idx="67">
                  <c:v>-19.492611790361213</c:v>
                </c:pt>
                <c:pt idx="68">
                  <c:v>-19.566902223097401</c:v>
                </c:pt>
                <c:pt idx="69">
                  <c:v>-19.638724169881232</c:v>
                </c:pt>
                <c:pt idx="70">
                  <c:v>-19.708180720785009</c:v>
                </c:pt>
                <c:pt idx="71">
                  <c:v>-19.775369873313</c:v>
                </c:pt>
                <c:pt idx="72">
                  <c:v>-19.840384828786718</c:v>
                </c:pt>
                <c:pt idx="73">
                  <c:v>-19.903314268028531</c:v>
                </c:pt>
                <c:pt idx="74">
                  <c:v>-19.96424260811899</c:v>
                </c:pt>
                <c:pt idx="75">
                  <c:v>-20.023250241817138</c:v>
                </c:pt>
                <c:pt idx="76">
                  <c:v>-20.080413761069874</c:v>
                </c:pt>
                <c:pt idx="77">
                  <c:v>-20.135806165892987</c:v>
                </c:pt>
                <c:pt idx="78">
                  <c:v>-20.189497059780159</c:v>
                </c:pt>
                <c:pt idx="79">
                  <c:v>-20.241552832684594</c:v>
                </c:pt>
                <c:pt idx="80">
                  <c:v>-20.292036832519436</c:v>
                </c:pt>
                <c:pt idx="81">
                  <c:v>-20.341009526035219</c:v>
                </c:pt>
                <c:pt idx="82">
                  <c:v>-20.388528649855093</c:v>
                </c:pt>
                <c:pt idx="83">
                  <c:v>-20.434649352378838</c:v>
                </c:pt>
                <c:pt idx="84">
                  <c:v>-20.479424327204896</c:v>
                </c:pt>
                <c:pt idx="85">
                  <c:v>-20.522903938664136</c:v>
                </c:pt>
                <c:pt idx="86">
                  <c:v>-20.565136340009062</c:v>
                </c:pt>
                <c:pt idx="87">
                  <c:v>-20.606167584757774</c:v>
                </c:pt>
                <c:pt idx="88">
                  <c:v>-20.646041731651096</c:v>
                </c:pt>
                <c:pt idx="89">
                  <c:v>-20.68480094364579</c:v>
                </c:pt>
                <c:pt idx="90">
                  <c:v>-20.722485581332393</c:v>
                </c:pt>
                <c:pt idx="91">
                  <c:v>-20.759134291137936</c:v>
                </c:pt>
                <c:pt idx="92">
                  <c:v>-20.794784088645404</c:v>
                </c:pt>
                <c:pt idx="93">
                  <c:v>-20.829470437337751</c:v>
                </c:pt>
                <c:pt idx="94">
                  <c:v>-20.863227323051667</c:v>
                </c:pt>
                <c:pt idx="95">
                  <c:v>-20.8960873244054</c:v>
                </c:pt>
                <c:pt idx="96">
                  <c:v>-20.928081679446919</c:v>
                </c:pt>
                <c:pt idx="97">
                  <c:v>-20.959240348750221</c:v>
                </c:pt>
                <c:pt idx="98">
                  <c:v>-20.989592075173256</c:v>
                </c:pt>
                <c:pt idx="99">
                  <c:v>-21.019164440475233</c:v>
                </c:pt>
                <c:pt idx="100">
                  <c:v>-21.047983918978019</c:v>
                </c:pt>
                <c:pt idx="101">
                  <c:v>-21.076075928444698</c:v>
                </c:pt>
                <c:pt idx="102">
                  <c:v>-21.103464878335757</c:v>
                </c:pt>
                <c:pt idx="103">
                  <c:v>-21.130174215593904</c:v>
                </c:pt>
                <c:pt idx="104">
                  <c:v>-21.15622646809841</c:v>
                </c:pt>
                <c:pt idx="105">
                  <c:v>-21.18164328592071</c:v>
                </c:pt>
                <c:pt idx="106">
                  <c:v>-21.20644548050489</c:v>
                </c:pt>
                <c:pt idx="107">
                  <c:v>-21.230653061888944</c:v>
                </c:pt>
                <c:pt idx="108">
                  <c:v>-21.254285274075428</c:v>
                </c:pt>
                <c:pt idx="109">
                  <c:v>-21.277360628653131</c:v>
                </c:pt>
                <c:pt idx="110">
                  <c:v>-21.481095462763903</c:v>
                </c:pt>
                <c:pt idx="111">
                  <c:v>-21.64512429296073</c:v>
                </c:pt>
                <c:pt idx="112">
                  <c:v>-21.779700734071824</c:v>
                </c:pt>
                <c:pt idx="113">
                  <c:v>-21.892094630197452</c:v>
                </c:pt>
                <c:pt idx="114">
                  <c:v>-21.987555872345762</c:v>
                </c:pt>
                <c:pt idx="115">
                  <c:v>-22.069939897073247</c:v>
                </c:pt>
                <c:pt idx="116">
                  <c:v>-22.142121921395397</c:v>
                </c:pt>
                <c:pt idx="117">
                  <c:v>-22.206276485297725</c:v>
                </c:pt>
                <c:pt idx="118">
                  <c:v>-22.264069440766558</c:v>
                </c:pt>
                <c:pt idx="119">
                  <c:v>-22.316791986624352</c:v>
                </c:pt>
                <c:pt idx="120">
                  <c:v>-22.365455683309321</c:v>
                </c:pt>
                <c:pt idx="121">
                  <c:v>-22.410860773112908</c:v>
                </c:pt>
                <c:pt idx="122">
                  <c:v>-22.453645962743643</c:v>
                </c:pt>
                <c:pt idx="123">
                  <c:v>-22.494325150831152</c:v>
                </c:pt>
                <c:pt idx="124">
                  <c:v>-22.533314839804991</c:v>
                </c:pt>
                <c:pt idx="125">
                  <c:v>-22.570954818015711</c:v>
                </c:pt>
                <c:pt idx="126">
                  <c:v>-22.607523923605243</c:v>
                </c:pt>
                <c:pt idx="127">
                  <c:v>-22.643252174754839</c:v>
                </c:pt>
                <c:pt idx="128">
                  <c:v>-22.678330187845201</c:v>
                </c:pt>
                <c:pt idx="129">
                  <c:v>-22.712916551805847</c:v>
                </c:pt>
                <c:pt idx="130">
                  <c:v>-22.747143648255378</c:v>
                </c:pt>
                <c:pt idx="131">
                  <c:v>-22.781122279613001</c:v>
                </c:pt>
                <c:pt idx="132">
                  <c:v>-22.814945375555993</c:v>
                </c:pt>
                <c:pt idx="133">
                  <c:v>-22.848690981414187</c:v>
                </c:pt>
                <c:pt idx="134">
                  <c:v>-22.882424683061537</c:v>
                </c:pt>
                <c:pt idx="135">
                  <c:v>-22.916201586553004</c:v>
                </c:pt>
                <c:pt idx="136">
                  <c:v>-22.950067943642605</c:v>
                </c:pt>
                <c:pt idx="137">
                  <c:v>-22.98406249391164</c:v>
                </c:pt>
                <c:pt idx="138">
                  <c:v>-23.018217578766532</c:v>
                </c:pt>
                <c:pt idx="139">
                  <c:v>-23.052560070750392</c:v>
                </c:pt>
                <c:pt idx="140">
                  <c:v>-23.087112152531173</c:v>
                </c:pt>
                <c:pt idx="141">
                  <c:v>-23.121891972900507</c:v>
                </c:pt>
                <c:pt idx="142">
                  <c:v>-23.156914201648554</c:v>
                </c:pt>
                <c:pt idx="143">
                  <c:v>-23.192190500893783</c:v>
                </c:pt>
                <c:pt idx="144">
                  <c:v>-23.227729927075551</c:v>
                </c:pt>
                <c:pt idx="145">
                  <c:v>-23.263539275143433</c:v>
                </c:pt>
                <c:pt idx="146">
                  <c:v>-23.299623374354432</c:v>
                </c:pt>
                <c:pt idx="147">
                  <c:v>-23.335985343387957</c:v>
                </c:pt>
                <c:pt idx="148">
                  <c:v>-23.372626811123112</c:v>
                </c:pt>
                <c:pt idx="149">
                  <c:v>-23.409548108320703</c:v>
                </c:pt>
                <c:pt idx="150">
                  <c:v>-23.446748434558661</c:v>
                </c:pt>
                <c:pt idx="151">
                  <c:v>-23.484226004042714</c:v>
                </c:pt>
                <c:pt idx="152">
                  <c:v>-23.521978173318693</c:v>
                </c:pt>
                <c:pt idx="153">
                  <c:v>-23.560001553426773</c:v>
                </c:pt>
                <c:pt idx="154">
                  <c:v>-23.598292108634645</c:v>
                </c:pt>
                <c:pt idx="155">
                  <c:v>-23.636845243556049</c:v>
                </c:pt>
                <c:pt idx="156">
                  <c:v>-23.675655880184976</c:v>
                </c:pt>
                <c:pt idx="157">
                  <c:v>-23.714718526147387</c:v>
                </c:pt>
                <c:pt idx="158">
                  <c:v>-23.75402733528048</c:v>
                </c:pt>
                <c:pt idx="159">
                  <c:v>-23.793576161490048</c:v>
                </c:pt>
                <c:pt idx="160">
                  <c:v>-23.833358606701381</c:v>
                </c:pt>
                <c:pt idx="161">
                  <c:v>-23.873368063606001</c:v>
                </c:pt>
                <c:pt idx="162">
                  <c:v>-23.913597753810869</c:v>
                </c:pt>
                <c:pt idx="163">
                  <c:v>-23.954040761915309</c:v>
                </c:pt>
                <c:pt idx="164">
                  <c:v>-23.994690065971888</c:v>
                </c:pt>
                <c:pt idx="165">
                  <c:v>-24.035538564728917</c:v>
                </c:pt>
                <c:pt idx="166">
                  <c:v>-24.07657910200172</c:v>
                </c:pt>
                <c:pt idx="167">
                  <c:v>-24.117804488476967</c:v>
                </c:pt>
                <c:pt idx="168">
                  <c:v>-24.159207521217148</c:v>
                </c:pt>
                <c:pt idx="169">
                  <c:v>-24.200781001100854</c:v>
                </c:pt>
                <c:pt idx="170">
                  <c:v>-24.242517748406254</c:v>
                </c:pt>
                <c:pt idx="171">
                  <c:v>-24.284410616722401</c:v>
                </c:pt>
                <c:pt idx="172">
                  <c:v>-24.32645250535117</c:v>
                </c:pt>
                <c:pt idx="173">
                  <c:v>-24.368636370345541</c:v>
                </c:pt>
                <c:pt idx="174">
                  <c:v>-24.41095523431397</c:v>
                </c:pt>
                <c:pt idx="175">
                  <c:v>-24.453402195106388</c:v>
                </c:pt>
                <c:pt idx="176">
                  <c:v>-24.49597043348632</c:v>
                </c:pt>
                <c:pt idx="177">
                  <c:v>-24.538653219881951</c:v>
                </c:pt>
                <c:pt idx="178">
                  <c:v>-24.58144392030054</c:v>
                </c:pt>
                <c:pt idx="179">
                  <c:v>-24.624336001481968</c:v>
                </c:pt>
                <c:pt idx="180">
                  <c:v>-24.667323035359338</c:v>
                </c:pt>
                <c:pt idx="181">
                  <c:v>-24.710398702889673</c:v>
                </c:pt>
                <c:pt idx="182">
                  <c:v>-24.75355679731004</c:v>
                </c:pt>
                <c:pt idx="183">
                  <c:v>-24.796791226870809</c:v>
                </c:pt>
                <c:pt idx="184">
                  <c:v>-24.840096017092357</c:v>
                </c:pt>
                <c:pt idx="185">
                  <c:v>-24.883465312587653</c:v>
                </c:pt>
                <c:pt idx="186">
                  <c:v>-24.926893378489524</c:v>
                </c:pt>
                <c:pt idx="187">
                  <c:v>-24.970374601518117</c:v>
                </c:pt>
                <c:pt idx="188">
                  <c:v>-25.013903490720622</c:v>
                </c:pt>
                <c:pt idx="189">
                  <c:v>-25.057474677913184</c:v>
                </c:pt>
                <c:pt idx="190">
                  <c:v>-25.101082917852438</c:v>
                </c:pt>
                <c:pt idx="191">
                  <c:v>-25.144723088161083</c:v>
                </c:pt>
                <c:pt idx="192">
                  <c:v>-25.18839018903109</c:v>
                </c:pt>
                <c:pt idx="193">
                  <c:v>-25.232079342725221</c:v>
                </c:pt>
                <c:pt idx="194">
                  <c:v>-25.275785792896585</c:v>
                </c:pt>
                <c:pt idx="195">
                  <c:v>-25.319504903743898</c:v>
                </c:pt>
                <c:pt idx="196">
                  <c:v>-25.363232159019088</c:v>
                </c:pt>
                <c:pt idx="197">
                  <c:v>-25.406963160902279</c:v>
                </c:pt>
                <c:pt idx="198">
                  <c:v>-25.450693628758422</c:v>
                </c:pt>
                <c:pt idx="199">
                  <c:v>-25.494419397787965</c:v>
                </c:pt>
                <c:pt idx="200">
                  <c:v>-25.930582114173486</c:v>
                </c:pt>
                <c:pt idx="201">
                  <c:v>-26.362490465526911</c:v>
                </c:pt>
                <c:pt idx="202">
                  <c:v>-26.787619789797802</c:v>
                </c:pt>
                <c:pt idx="203">
                  <c:v>-27.204208474385059</c:v>
                </c:pt>
                <c:pt idx="204">
                  <c:v>-27.61108877304336</c:v>
                </c:pt>
                <c:pt idx="205">
                  <c:v>-28.007544101408595</c:v>
                </c:pt>
                <c:pt idx="206">
                  <c:v>-28.393194113009145</c:v>
                </c:pt>
                <c:pt idx="207">
                  <c:v>-28.767904781517132</c:v>
                </c:pt>
                <c:pt idx="208">
                  <c:v>-29.131719393949361</c:v>
                </c:pt>
                <c:pt idx="209">
                  <c:v>-29.484806313818474</c:v>
                </c:pt>
                <c:pt idx="210">
                  <c:v>-29.827419849698884</c:v>
                </c:pt>
                <c:pt idx="211">
                  <c:v>-30.159871194565788</c:v>
                </c:pt>
                <c:pt idx="212">
                  <c:v>-30.482507016882899</c:v>
                </c:pt>
                <c:pt idx="213">
                  <c:v>-30.795693820003986</c:v>
                </c:pt>
                <c:pt idx="214">
                  <c:v>-31.099806625437516</c:v>
                </c:pt>
                <c:pt idx="215">
                  <c:v>-31.395220883058013</c:v>
                </c:pt>
                <c:pt idx="216">
                  <c:v>-31.682306780647231</c:v>
                </c:pt>
                <c:pt idx="217">
                  <c:v>-31.961425330982518</c:v>
                </c:pt>
                <c:pt idx="218">
                  <c:v>-32.23292577063922</c:v>
                </c:pt>
                <c:pt idx="219">
                  <c:v>-32.497143922169236</c:v>
                </c:pt>
                <c:pt idx="220">
                  <c:v>-32.754401259538113</c:v>
                </c:pt>
                <c:pt idx="221">
                  <c:v>-33.005004482812829</c:v>
                </c:pt>
                <c:pt idx="222">
                  <c:v>-33.249245457581821</c:v>
                </c:pt>
                <c:pt idx="223">
                  <c:v>-33.487401411628298</c:v>
                </c:pt>
                <c:pt idx="224">
                  <c:v>-33.719735309095327</c:v>
                </c:pt>
                <c:pt idx="225">
                  <c:v>-33.946496343127272</c:v>
                </c:pt>
                <c:pt idx="226">
                  <c:v>-34.167920503508739</c:v>
                </c:pt>
                <c:pt idx="227">
                  <c:v>-34.384231187446787</c:v>
                </c:pt>
                <c:pt idx="228">
                  <c:v>-34.595639830351288</c:v>
                </c:pt>
                <c:pt idx="229">
                  <c:v>-34.802346539974984</c:v>
                </c:pt>
                <c:pt idx="230">
                  <c:v>-35.004540722141691</c:v>
                </c:pt>
                <c:pt idx="231">
                  <c:v>-35.202401689913174</c:v>
                </c:pt>
                <c:pt idx="232">
                  <c:v>-35.396099250743539</c:v>
                </c:pt>
                <c:pt idx="233">
                  <c:v>-35.585794268160541</c:v>
                </c:pt>
                <c:pt idx="234">
                  <c:v>-35.771639195982502</c:v>
                </c:pt>
                <c:pt idx="235">
                  <c:v>-35.95377858414637</c:v>
                </c:pt>
                <c:pt idx="236">
                  <c:v>-36.132349555996811</c:v>
                </c:pt>
                <c:pt idx="237">
                  <c:v>-36.307482257431204</c:v>
                </c:pt>
                <c:pt idx="238">
                  <c:v>-36.479300278676376</c:v>
                </c:pt>
                <c:pt idx="239">
                  <c:v>-36.647921049726463</c:v>
                </c:pt>
                <c:pt idx="240">
                  <c:v>-36.813456210633213</c:v>
                </c:pt>
                <c:pt idx="241">
                  <c:v>-36.976011957931988</c:v>
                </c:pt>
                <c:pt idx="242">
                  <c:v>-37.135689368529619</c:v>
                </c:pt>
                <c:pt idx="243">
                  <c:v>-37.292584702385781</c:v>
                </c:pt>
                <c:pt idx="244">
                  <c:v>-37.446789685300686</c:v>
                </c:pt>
                <c:pt idx="245">
                  <c:v>-37.598391773082028</c:v>
                </c:pt>
                <c:pt idx="246">
                  <c:v>-37.747474398317372</c:v>
                </c:pt>
                <c:pt idx="247">
                  <c:v>-37.894117200917925</c:v>
                </c:pt>
                <c:pt idx="248">
                  <c:v>-38.038396243539452</c:v>
                </c:pt>
                <c:pt idx="249">
                  <c:v>-38.180384212922327</c:v>
                </c:pt>
                <c:pt idx="250">
                  <c:v>-38.320150608128323</c:v>
                </c:pt>
                <c:pt idx="251">
                  <c:v>-38.457761916589483</c:v>
                </c:pt>
                <c:pt idx="252">
                  <c:v>-38.593281778822927</c:v>
                </c:pt>
                <c:pt idx="253">
                  <c:v>-38.72677114260734</c:v>
                </c:pt>
                <c:pt idx="254">
                  <c:v>-38.858288407361826</c:v>
                </c:pt>
                <c:pt idx="255">
                  <c:v>-38.987889559412999</c:v>
                </c:pt>
                <c:pt idx="256">
                  <c:v>-39.11562829879044</c:v>
                </c:pt>
                <c:pt idx="257">
                  <c:v>-39.241556158140078</c:v>
                </c:pt>
                <c:pt idx="258">
                  <c:v>-39.365722614305362</c:v>
                </c:pt>
                <c:pt idx="259">
                  <c:v>-39.488175193083002</c:v>
                </c:pt>
                <c:pt idx="260">
                  <c:v>-39.608959567625149</c:v>
                </c:pt>
                <c:pt idx="261">
                  <c:v>-39.728119650922416</c:v>
                </c:pt>
                <c:pt idx="262">
                  <c:v>-39.84569768277283</c:v>
                </c:pt>
                <c:pt idx="263">
                  <c:v>-39.96173431160878</c:v>
                </c:pt>
                <c:pt idx="264">
                  <c:v>-40.076268671530201</c:v>
                </c:pt>
                <c:pt idx="265">
                  <c:v>-40.189338454863034</c:v>
                </c:pt>
                <c:pt idx="266">
                  <c:v>-40.300979980541463</c:v>
                </c:pt>
                <c:pt idx="267">
                  <c:v>-40.411228258588771</c:v>
                </c:pt>
                <c:pt idx="268">
                  <c:v>-40.520117050952713</c:v>
                </c:pt>
                <c:pt idx="269">
                  <c:v>-40.627678928932355</c:v>
                </c:pt>
                <c:pt idx="270">
                  <c:v>-40.733945327416301</c:v>
                </c:pt>
                <c:pt idx="271">
                  <c:v>-40.838946596136346</c:v>
                </c:pt>
                <c:pt idx="272">
                  <c:v>-40.942712048126531</c:v>
                </c:pt>
                <c:pt idx="273">
                  <c:v>-41.045270005563509</c:v>
                </c:pt>
                <c:pt idx="274">
                  <c:v>-41.14664784315211</c:v>
                </c:pt>
                <c:pt idx="275">
                  <c:v>-41.246872029208426</c:v>
                </c:pt>
                <c:pt idx="276">
                  <c:v>-41.34596816458221</c:v>
                </c:pt>
                <c:pt idx="277">
                  <c:v>-41.4439610195504</c:v>
                </c:pt>
                <c:pt idx="278">
                  <c:v>-41.540874568804796</c:v>
                </c:pt>
                <c:pt idx="279">
                  <c:v>-41.636732024648367</c:v>
                </c:pt>
                <c:pt idx="280">
                  <c:v>-41.731555868506902</c:v>
                </c:pt>
                <c:pt idx="281">
                  <c:v>-41.825367880855623</c:v>
                </c:pt>
                <c:pt idx="282">
                  <c:v>-41.918189169653814</c:v>
                </c:pt>
                <c:pt idx="283">
                  <c:v>-42.010040197374046</c:v>
                </c:pt>
                <c:pt idx="284">
                  <c:v>-42.100940806707293</c:v>
                </c:pt>
                <c:pt idx="285">
                  <c:v>-42.190910245019559</c:v>
                </c:pt>
                <c:pt idx="286">
                  <c:v>-42.279967187630987</c:v>
                </c:pt>
                <c:pt idx="287">
                  <c:v>-42.368129759983724</c:v>
                </c:pt>
                <c:pt idx="288">
                  <c:v>-42.45541555876067</c:v>
                </c:pt>
                <c:pt idx="289">
                  <c:v>-42.541841672013092</c:v>
                </c:pt>
                <c:pt idx="290">
                  <c:v>-43.362251717913537</c:v>
                </c:pt>
                <c:pt idx="291">
                  <c:v>-44.112352810948103</c:v>
                </c:pt>
                <c:pt idx="292">
                  <c:v>-44.803177082639706</c:v>
                </c:pt>
                <c:pt idx="293">
                  <c:v>-45.443362096233706</c:v>
                </c:pt>
                <c:pt idx="294">
                  <c:v>-46.039793879481046</c:v>
                </c:pt>
                <c:pt idx="295">
                  <c:v>-46.598048621927688</c:v>
                </c:pt>
                <c:pt idx="296">
                  <c:v>-47.122703915445562</c:v>
                </c:pt>
                <c:pt idx="297">
                  <c:v>-47.617563033407023</c:v>
                </c:pt>
                <c:pt idx="298">
                  <c:v>-48.085819772740564</c:v>
                </c:pt>
                <c:pt idx="299">
                  <c:v>-48.530181758407778</c:v>
                </c:pt>
                <c:pt idx="300">
                  <c:v>-48.952964137698238</c:v>
                </c:pt>
                <c:pt idx="301">
                  <c:v>-49.356161787620891</c:v>
                </c:pt>
                <c:pt idx="302">
                  <c:v>-49.741505677702953</c:v>
                </c:pt>
                <c:pt idx="303">
                  <c:v>-50.110507377607043</c:v>
                </c:pt>
                <c:pt idx="304">
                  <c:v>-50.464494576260151</c:v>
                </c:pt>
                <c:pt idx="305">
                  <c:v>-50.804639703027313</c:v>
                </c:pt>
                <c:pt idx="306">
                  <c:v>-51.131983196179874</c:v>
                </c:pt>
                <c:pt idx="307">
                  <c:v>-51.44745257511034</c:v>
                </c:pt>
                <c:pt idx="308">
                  <c:v>-51.751878191732573</c:v>
                </c:pt>
                <c:pt idx="309">
                  <c:v>-52.046006330825023</c:v>
                </c:pt>
                <c:pt idx="310">
                  <c:v>-52.330510176768676</c:v>
                </c:pt>
                <c:pt idx="311">
                  <c:v>-52.605999050124922</c:v>
                </c:pt>
                <c:pt idx="312">
                  <c:v>-52.873026231293785</c:v>
                </c:pt>
                <c:pt idx="313">
                  <c:v>-53.132095622700291</c:v>
                </c:pt>
                <c:pt idx="314">
                  <c:v>-53.383667450295462</c:v>
                </c:pt>
                <c:pt idx="315">
                  <c:v>-53.628163165825555</c:v>
                </c:pt>
                <c:pt idx="316">
                  <c:v>-53.865969680554102</c:v>
                </c:pt>
                <c:pt idx="317">
                  <c:v>-54.097443036866707</c:v>
                </c:pt>
                <c:pt idx="318">
                  <c:v>-54.322911604946988</c:v>
                </c:pt>
                <c:pt idx="319">
                  <c:v>-54.542678876339906</c:v>
                </c:pt>
                <c:pt idx="320">
                  <c:v>-54.757025913869199</c:v>
                </c:pt>
                <c:pt idx="321">
                  <c:v>-54.966213507390769</c:v>
                </c:pt>
                <c:pt idx="322">
                  <c:v>-55.170484076751791</c:v>
                </c:pt>
                <c:pt idx="323">
                  <c:v>-55.370063356695297</c:v>
                </c:pt>
                <c:pt idx="324">
                  <c:v>-55.565161893009211</c:v>
                </c:pt>
                <c:pt idx="325">
                  <c:v>-55.755976374725734</c:v>
                </c:pt>
                <c:pt idx="326">
                  <c:v>-55.942690823460396</c:v>
                </c:pt>
                <c:pt idx="327">
                  <c:v>-56.125477657879614</c:v>
                </c:pt>
                <c:pt idx="328">
                  <c:v>-56.304498648700879</c:v>
                </c:pt>
                <c:pt idx="329">
                  <c:v>-56.47990577745658</c:v>
                </c:pt>
                <c:pt idx="330">
                  <c:v>-56.651842010424559</c:v>
                </c:pt>
                <c:pt idx="331">
                  <c:v>-56.820441997584183</c:v>
                </c:pt>
                <c:pt idx="332">
                  <c:v>-56.985832705144446</c:v>
                </c:pt>
                <c:pt idx="333">
                  <c:v>-57.148133989076868</c:v>
                </c:pt>
                <c:pt idx="334">
                  <c:v>-57.307459116132627</c:v>
                </c:pt>
                <c:pt idx="335">
                  <c:v>-57.463915238008823</c:v>
                </c:pt>
                <c:pt idx="336">
                  <c:v>-57.61760382362958</c:v>
                </c:pt>
                <c:pt idx="337">
                  <c:v>-57.768621053901875</c:v>
                </c:pt>
                <c:pt idx="338">
                  <c:v>-57.917058182788949</c:v>
                </c:pt>
                <c:pt idx="339">
                  <c:v>-58.063001868090169</c:v>
                </c:pt>
                <c:pt idx="340">
                  <c:v>-58.206534474926848</c:v>
                </c:pt>
                <c:pt idx="341">
                  <c:v>-58.347734354591594</c:v>
                </c:pt>
                <c:pt idx="342">
                  <c:v>-58.486676101122455</c:v>
                </c:pt>
                <c:pt idx="343">
                  <c:v>-58.623430787703285</c:v>
                </c:pt>
                <c:pt idx="344">
                  <c:v>-58.758066184763251</c:v>
                </c:pt>
                <c:pt idx="345">
                  <c:v>-58.890646961449995</c:v>
                </c:pt>
                <c:pt idx="346">
                  <c:v>-59.021234871974151</c:v>
                </c:pt>
                <c:pt idx="347">
                  <c:v>-59.149888928167222</c:v>
                </c:pt>
                <c:pt idx="348">
                  <c:v>-59.276665559460149</c:v>
                </c:pt>
                <c:pt idx="349">
                  <c:v>-59.401618761365583</c:v>
                </c:pt>
                <c:pt idx="350">
                  <c:v>-59.524800233441454</c:v>
                </c:pt>
                <c:pt idx="351">
                  <c:v>-59.646259507618502</c:v>
                </c:pt>
                <c:pt idx="352">
                  <c:v>-59.766044067685741</c:v>
                </c:pt>
                <c:pt idx="353">
                  <c:v>-59.884199460657371</c:v>
                </c:pt>
                <c:pt idx="354">
                  <c:v>-60.000769400672638</c:v>
                </c:pt>
                <c:pt idx="355">
                  <c:v>-60.115795866021656</c:v>
                </c:pt>
                <c:pt idx="356">
                  <c:v>-60.229319189835962</c:v>
                </c:pt>
                <c:pt idx="357">
                  <c:v>-60.341378144933692</c:v>
                </c:pt>
                <c:pt idx="358">
                  <c:v>-60.452010023265252</c:v>
                </c:pt>
                <c:pt idx="359">
                  <c:v>-60.561250710367311</c:v>
                </c:pt>
                <c:pt idx="360">
                  <c:v>-60.66913475519604</c:v>
                </c:pt>
                <c:pt idx="361">
                  <c:v>-60.775695435679893</c:v>
                </c:pt>
                <c:pt idx="362">
                  <c:v>-60.880964820302729</c:v>
                </c:pt>
                <c:pt idx="363">
                  <c:v>-60.984973826002431</c:v>
                </c:pt>
                <c:pt idx="364">
                  <c:v>-61.087752272646227</c:v>
                </c:pt>
                <c:pt idx="365">
                  <c:v>-61.189328934322603</c:v>
                </c:pt>
                <c:pt idx="366">
                  <c:v>-61.289731587671042</c:v>
                </c:pt>
                <c:pt idx="367">
                  <c:v>-61.388987057451551</c:v>
                </c:pt>
                <c:pt idx="368">
                  <c:v>-61.487121259541951</c:v>
                </c:pt>
                <c:pt idx="369">
                  <c:v>-61.5841592415346</c:v>
                </c:pt>
                <c:pt idx="370">
                  <c:v>-61.680125221091622</c:v>
                </c:pt>
                <c:pt idx="371">
                  <c:v>-61.775042622205909</c:v>
                </c:pt>
                <c:pt idx="372">
                  <c:v>-61.868934109503101</c:v>
                </c:pt>
                <c:pt idx="373">
                  <c:v>-61.961821620710609</c:v>
                </c:pt>
                <c:pt idx="374">
                  <c:v>-62.053726397409676</c:v>
                </c:pt>
                <c:pt idx="375">
                  <c:v>-62.144669014178376</c:v>
                </c:pt>
                <c:pt idx="376">
                  <c:v>-62.234669406225642</c:v>
                </c:pt>
                <c:pt idx="377">
                  <c:v>-62.323746895608807</c:v>
                </c:pt>
                <c:pt idx="378">
                  <c:v>-62.411920216121317</c:v>
                </c:pt>
                <c:pt idx="379">
                  <c:v>-62.499207536930271</c:v>
                </c:pt>
              </c:numCache>
            </c:numRef>
          </c:yVal>
          <c:smooth val="1"/>
          <c:extLst>
            <c:ext xmlns:c16="http://schemas.microsoft.com/office/drawing/2014/chart" uri="{C3380CC4-5D6E-409C-BE32-E72D297353CC}">
              <c16:uniqueId val="{00000000-1EFC-4EB1-A4E3-9F0A62532664}"/>
            </c:ext>
          </c:extLst>
        </c:ser>
        <c:dLbls>
          <c:showLegendKey val="0"/>
          <c:showVal val="0"/>
          <c:showCatName val="0"/>
          <c:showSerName val="0"/>
          <c:showPercent val="0"/>
          <c:showBubbleSize val="0"/>
        </c:dLbls>
        <c:axId val="1434155088"/>
        <c:axId val="1570699712"/>
      </c:scatterChart>
      <c:valAx>
        <c:axId val="1434155088"/>
        <c:scaling>
          <c:logBase val="10"/>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 Phase (db)</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'Loop Gain'!$Y$1</c:f>
              <c:strCache>
                <c:ptCount val="1"/>
                <c:pt idx="0">
                  <c:v>Phase</c:v>
                </c:pt>
              </c:strCache>
            </c:strRef>
          </c:tx>
          <c:spPr>
            <a:ln w="19050" cap="rnd">
              <a:solidFill>
                <a:schemeClr val="accent1"/>
              </a:solidFill>
              <a:round/>
            </a:ln>
            <a:effectLst/>
          </c:spPr>
          <c:marker>
            <c:symbol val="none"/>
          </c:marker>
          <c:xVal>
            <c:numRef>
              <c:f>'Loop Gain'!$A$2:$A$381</c:f>
              <c:numCache>
                <c:formatCode>General</c:formatCode>
                <c:ptCount val="380"/>
                <c:pt idx="0">
                  <c:v>1</c:v>
                </c:pt>
                <c:pt idx="1">
                  <c:v>10</c:v>
                </c:pt>
                <c:pt idx="2">
                  <c:v>20</c:v>
                </c:pt>
                <c:pt idx="3">
                  <c:v>30</c:v>
                </c:pt>
                <c:pt idx="4">
                  <c:v>40</c:v>
                </c:pt>
                <c:pt idx="5">
                  <c:v>50</c:v>
                </c:pt>
                <c:pt idx="6">
                  <c:v>60</c:v>
                </c:pt>
                <c:pt idx="7">
                  <c:v>70</c:v>
                </c:pt>
                <c:pt idx="8">
                  <c:v>80</c:v>
                </c:pt>
                <c:pt idx="9">
                  <c:v>90</c:v>
                </c:pt>
                <c:pt idx="10">
                  <c:v>100</c:v>
                </c:pt>
                <c:pt idx="11">
                  <c:v>200</c:v>
                </c:pt>
                <c:pt idx="12">
                  <c:v>300</c:v>
                </c:pt>
                <c:pt idx="13">
                  <c:v>400</c:v>
                </c:pt>
                <c:pt idx="14">
                  <c:v>500</c:v>
                </c:pt>
                <c:pt idx="15">
                  <c:v>600</c:v>
                </c:pt>
                <c:pt idx="16">
                  <c:v>700</c:v>
                </c:pt>
                <c:pt idx="17">
                  <c:v>800</c:v>
                </c:pt>
                <c:pt idx="18">
                  <c:v>900</c:v>
                </c:pt>
                <c:pt idx="19">
                  <c:v>1000</c:v>
                </c:pt>
                <c:pt idx="20">
                  <c:v>1100</c:v>
                </c:pt>
                <c:pt idx="21">
                  <c:v>1200</c:v>
                </c:pt>
                <c:pt idx="22">
                  <c:v>1300</c:v>
                </c:pt>
                <c:pt idx="23">
                  <c:v>1400</c:v>
                </c:pt>
                <c:pt idx="24">
                  <c:v>1500</c:v>
                </c:pt>
                <c:pt idx="25">
                  <c:v>1600</c:v>
                </c:pt>
                <c:pt idx="26">
                  <c:v>1700</c:v>
                </c:pt>
                <c:pt idx="27">
                  <c:v>1800</c:v>
                </c:pt>
                <c:pt idx="28">
                  <c:v>1900</c:v>
                </c:pt>
                <c:pt idx="29">
                  <c:v>2000</c:v>
                </c:pt>
                <c:pt idx="30">
                  <c:v>2100</c:v>
                </c:pt>
                <c:pt idx="31">
                  <c:v>2200</c:v>
                </c:pt>
                <c:pt idx="32">
                  <c:v>2300</c:v>
                </c:pt>
                <c:pt idx="33">
                  <c:v>2400</c:v>
                </c:pt>
                <c:pt idx="34">
                  <c:v>2500</c:v>
                </c:pt>
                <c:pt idx="35">
                  <c:v>2600</c:v>
                </c:pt>
                <c:pt idx="36">
                  <c:v>2700</c:v>
                </c:pt>
                <c:pt idx="37">
                  <c:v>2800</c:v>
                </c:pt>
                <c:pt idx="38">
                  <c:v>2900</c:v>
                </c:pt>
                <c:pt idx="39">
                  <c:v>3000</c:v>
                </c:pt>
                <c:pt idx="40">
                  <c:v>3100</c:v>
                </c:pt>
                <c:pt idx="41">
                  <c:v>3200</c:v>
                </c:pt>
                <c:pt idx="42">
                  <c:v>3300</c:v>
                </c:pt>
                <c:pt idx="43">
                  <c:v>3400</c:v>
                </c:pt>
                <c:pt idx="44">
                  <c:v>3500</c:v>
                </c:pt>
                <c:pt idx="45">
                  <c:v>3600</c:v>
                </c:pt>
                <c:pt idx="46">
                  <c:v>3700</c:v>
                </c:pt>
                <c:pt idx="47">
                  <c:v>3800</c:v>
                </c:pt>
                <c:pt idx="48">
                  <c:v>3900</c:v>
                </c:pt>
                <c:pt idx="49">
                  <c:v>4000</c:v>
                </c:pt>
                <c:pt idx="50">
                  <c:v>4100</c:v>
                </c:pt>
                <c:pt idx="51">
                  <c:v>4200</c:v>
                </c:pt>
                <c:pt idx="52">
                  <c:v>4300</c:v>
                </c:pt>
                <c:pt idx="53">
                  <c:v>4400</c:v>
                </c:pt>
                <c:pt idx="54">
                  <c:v>4500</c:v>
                </c:pt>
                <c:pt idx="55">
                  <c:v>4600</c:v>
                </c:pt>
                <c:pt idx="56">
                  <c:v>4700</c:v>
                </c:pt>
                <c:pt idx="57">
                  <c:v>4800</c:v>
                </c:pt>
                <c:pt idx="58">
                  <c:v>4900</c:v>
                </c:pt>
                <c:pt idx="59">
                  <c:v>5000</c:v>
                </c:pt>
                <c:pt idx="60">
                  <c:v>5100</c:v>
                </c:pt>
                <c:pt idx="61">
                  <c:v>5200</c:v>
                </c:pt>
                <c:pt idx="62">
                  <c:v>5300</c:v>
                </c:pt>
                <c:pt idx="63">
                  <c:v>5400</c:v>
                </c:pt>
                <c:pt idx="64">
                  <c:v>5500</c:v>
                </c:pt>
                <c:pt idx="65">
                  <c:v>5600</c:v>
                </c:pt>
                <c:pt idx="66">
                  <c:v>5700</c:v>
                </c:pt>
                <c:pt idx="67">
                  <c:v>5800</c:v>
                </c:pt>
                <c:pt idx="68">
                  <c:v>5900</c:v>
                </c:pt>
                <c:pt idx="69">
                  <c:v>6000</c:v>
                </c:pt>
                <c:pt idx="70">
                  <c:v>6100</c:v>
                </c:pt>
                <c:pt idx="71">
                  <c:v>6200</c:v>
                </c:pt>
                <c:pt idx="72">
                  <c:v>6300</c:v>
                </c:pt>
                <c:pt idx="73">
                  <c:v>6400</c:v>
                </c:pt>
                <c:pt idx="74">
                  <c:v>6500</c:v>
                </c:pt>
                <c:pt idx="75">
                  <c:v>6600</c:v>
                </c:pt>
                <c:pt idx="76">
                  <c:v>6700</c:v>
                </c:pt>
                <c:pt idx="77">
                  <c:v>6800</c:v>
                </c:pt>
                <c:pt idx="78">
                  <c:v>6900</c:v>
                </c:pt>
                <c:pt idx="79">
                  <c:v>7000</c:v>
                </c:pt>
                <c:pt idx="80">
                  <c:v>7100</c:v>
                </c:pt>
                <c:pt idx="81">
                  <c:v>7200</c:v>
                </c:pt>
                <c:pt idx="82">
                  <c:v>7300</c:v>
                </c:pt>
                <c:pt idx="83">
                  <c:v>7400</c:v>
                </c:pt>
                <c:pt idx="84">
                  <c:v>7500</c:v>
                </c:pt>
                <c:pt idx="85">
                  <c:v>7600</c:v>
                </c:pt>
                <c:pt idx="86">
                  <c:v>7700</c:v>
                </c:pt>
                <c:pt idx="87">
                  <c:v>7800</c:v>
                </c:pt>
                <c:pt idx="88">
                  <c:v>7900</c:v>
                </c:pt>
                <c:pt idx="89">
                  <c:v>8000</c:v>
                </c:pt>
                <c:pt idx="90">
                  <c:v>8100</c:v>
                </c:pt>
                <c:pt idx="91">
                  <c:v>8200</c:v>
                </c:pt>
                <c:pt idx="92">
                  <c:v>8300</c:v>
                </c:pt>
                <c:pt idx="93">
                  <c:v>8400</c:v>
                </c:pt>
                <c:pt idx="94">
                  <c:v>8500</c:v>
                </c:pt>
                <c:pt idx="95">
                  <c:v>8600</c:v>
                </c:pt>
                <c:pt idx="96">
                  <c:v>8700</c:v>
                </c:pt>
                <c:pt idx="97">
                  <c:v>8800</c:v>
                </c:pt>
                <c:pt idx="98">
                  <c:v>8900</c:v>
                </c:pt>
                <c:pt idx="99">
                  <c:v>9000</c:v>
                </c:pt>
                <c:pt idx="100">
                  <c:v>9100</c:v>
                </c:pt>
                <c:pt idx="101">
                  <c:v>9200</c:v>
                </c:pt>
                <c:pt idx="102">
                  <c:v>9300</c:v>
                </c:pt>
                <c:pt idx="103">
                  <c:v>9400</c:v>
                </c:pt>
                <c:pt idx="104">
                  <c:v>9500</c:v>
                </c:pt>
                <c:pt idx="105">
                  <c:v>9600</c:v>
                </c:pt>
                <c:pt idx="106">
                  <c:v>9700</c:v>
                </c:pt>
                <c:pt idx="107">
                  <c:v>9800</c:v>
                </c:pt>
                <c:pt idx="108">
                  <c:v>9900</c:v>
                </c:pt>
                <c:pt idx="109">
                  <c:v>10000</c:v>
                </c:pt>
                <c:pt idx="110">
                  <c:v>11000</c:v>
                </c:pt>
                <c:pt idx="111">
                  <c:v>12000</c:v>
                </c:pt>
                <c:pt idx="112">
                  <c:v>13000</c:v>
                </c:pt>
                <c:pt idx="113">
                  <c:v>14000</c:v>
                </c:pt>
                <c:pt idx="114">
                  <c:v>15000</c:v>
                </c:pt>
                <c:pt idx="115">
                  <c:v>16000</c:v>
                </c:pt>
                <c:pt idx="116">
                  <c:v>17000</c:v>
                </c:pt>
                <c:pt idx="117">
                  <c:v>18000</c:v>
                </c:pt>
                <c:pt idx="118">
                  <c:v>19000</c:v>
                </c:pt>
                <c:pt idx="119">
                  <c:v>20000</c:v>
                </c:pt>
                <c:pt idx="120">
                  <c:v>21000</c:v>
                </c:pt>
                <c:pt idx="121">
                  <c:v>22000</c:v>
                </c:pt>
                <c:pt idx="122">
                  <c:v>23000</c:v>
                </c:pt>
                <c:pt idx="123">
                  <c:v>24000</c:v>
                </c:pt>
                <c:pt idx="124">
                  <c:v>25000</c:v>
                </c:pt>
                <c:pt idx="125">
                  <c:v>26000</c:v>
                </c:pt>
                <c:pt idx="126">
                  <c:v>27000</c:v>
                </c:pt>
                <c:pt idx="127">
                  <c:v>28000</c:v>
                </c:pt>
                <c:pt idx="128">
                  <c:v>29000</c:v>
                </c:pt>
                <c:pt idx="129">
                  <c:v>30000</c:v>
                </c:pt>
                <c:pt idx="130">
                  <c:v>31000</c:v>
                </c:pt>
                <c:pt idx="131">
                  <c:v>32000</c:v>
                </c:pt>
                <c:pt idx="132">
                  <c:v>33000</c:v>
                </c:pt>
                <c:pt idx="133">
                  <c:v>34000</c:v>
                </c:pt>
                <c:pt idx="134">
                  <c:v>35000</c:v>
                </c:pt>
                <c:pt idx="135">
                  <c:v>36000</c:v>
                </c:pt>
                <c:pt idx="136">
                  <c:v>37000</c:v>
                </c:pt>
                <c:pt idx="137">
                  <c:v>38000</c:v>
                </c:pt>
                <c:pt idx="138">
                  <c:v>39000</c:v>
                </c:pt>
                <c:pt idx="139">
                  <c:v>40000</c:v>
                </c:pt>
                <c:pt idx="140">
                  <c:v>41000</c:v>
                </c:pt>
                <c:pt idx="141">
                  <c:v>42000</c:v>
                </c:pt>
                <c:pt idx="142">
                  <c:v>43000</c:v>
                </c:pt>
                <c:pt idx="143">
                  <c:v>44000</c:v>
                </c:pt>
                <c:pt idx="144">
                  <c:v>45000</c:v>
                </c:pt>
                <c:pt idx="145">
                  <c:v>46000</c:v>
                </c:pt>
                <c:pt idx="146">
                  <c:v>47000</c:v>
                </c:pt>
                <c:pt idx="147">
                  <c:v>48000</c:v>
                </c:pt>
                <c:pt idx="148">
                  <c:v>49000</c:v>
                </c:pt>
                <c:pt idx="149">
                  <c:v>50000</c:v>
                </c:pt>
                <c:pt idx="150">
                  <c:v>51000</c:v>
                </c:pt>
                <c:pt idx="151">
                  <c:v>52000</c:v>
                </c:pt>
                <c:pt idx="152">
                  <c:v>53000</c:v>
                </c:pt>
                <c:pt idx="153">
                  <c:v>54000</c:v>
                </c:pt>
                <c:pt idx="154">
                  <c:v>55000</c:v>
                </c:pt>
                <c:pt idx="155">
                  <c:v>56000</c:v>
                </c:pt>
                <c:pt idx="156">
                  <c:v>57000</c:v>
                </c:pt>
                <c:pt idx="157">
                  <c:v>58000</c:v>
                </c:pt>
                <c:pt idx="158">
                  <c:v>59000</c:v>
                </c:pt>
                <c:pt idx="159">
                  <c:v>60000</c:v>
                </c:pt>
                <c:pt idx="160">
                  <c:v>61000</c:v>
                </c:pt>
                <c:pt idx="161">
                  <c:v>62000</c:v>
                </c:pt>
                <c:pt idx="162">
                  <c:v>63000</c:v>
                </c:pt>
                <c:pt idx="163">
                  <c:v>64000</c:v>
                </c:pt>
                <c:pt idx="164">
                  <c:v>65000</c:v>
                </c:pt>
                <c:pt idx="165">
                  <c:v>66000</c:v>
                </c:pt>
                <c:pt idx="166">
                  <c:v>67000</c:v>
                </c:pt>
                <c:pt idx="167">
                  <c:v>68000</c:v>
                </c:pt>
                <c:pt idx="168">
                  <c:v>69000</c:v>
                </c:pt>
                <c:pt idx="169">
                  <c:v>70000</c:v>
                </c:pt>
                <c:pt idx="170">
                  <c:v>71000</c:v>
                </c:pt>
                <c:pt idx="171">
                  <c:v>72000</c:v>
                </c:pt>
                <c:pt idx="172">
                  <c:v>73000</c:v>
                </c:pt>
                <c:pt idx="173">
                  <c:v>74000</c:v>
                </c:pt>
                <c:pt idx="174">
                  <c:v>75000</c:v>
                </c:pt>
                <c:pt idx="175">
                  <c:v>76000</c:v>
                </c:pt>
                <c:pt idx="176">
                  <c:v>77000</c:v>
                </c:pt>
                <c:pt idx="177">
                  <c:v>78000</c:v>
                </c:pt>
                <c:pt idx="178">
                  <c:v>79000</c:v>
                </c:pt>
                <c:pt idx="179">
                  <c:v>80000</c:v>
                </c:pt>
                <c:pt idx="180">
                  <c:v>81000</c:v>
                </c:pt>
                <c:pt idx="181">
                  <c:v>82000</c:v>
                </c:pt>
                <c:pt idx="182">
                  <c:v>83000</c:v>
                </c:pt>
                <c:pt idx="183">
                  <c:v>84000</c:v>
                </c:pt>
                <c:pt idx="184">
                  <c:v>85000</c:v>
                </c:pt>
                <c:pt idx="185">
                  <c:v>86000</c:v>
                </c:pt>
                <c:pt idx="186">
                  <c:v>87000</c:v>
                </c:pt>
                <c:pt idx="187">
                  <c:v>88000</c:v>
                </c:pt>
                <c:pt idx="188">
                  <c:v>89000</c:v>
                </c:pt>
                <c:pt idx="189">
                  <c:v>90000</c:v>
                </c:pt>
                <c:pt idx="190">
                  <c:v>91000</c:v>
                </c:pt>
                <c:pt idx="191">
                  <c:v>92000</c:v>
                </c:pt>
                <c:pt idx="192">
                  <c:v>93000</c:v>
                </c:pt>
                <c:pt idx="193">
                  <c:v>94000</c:v>
                </c:pt>
                <c:pt idx="194">
                  <c:v>95000</c:v>
                </c:pt>
                <c:pt idx="195">
                  <c:v>96000</c:v>
                </c:pt>
                <c:pt idx="196">
                  <c:v>97000</c:v>
                </c:pt>
                <c:pt idx="197">
                  <c:v>98000</c:v>
                </c:pt>
                <c:pt idx="198">
                  <c:v>99000</c:v>
                </c:pt>
                <c:pt idx="199">
                  <c:v>100000</c:v>
                </c:pt>
                <c:pt idx="200">
                  <c:v>110000</c:v>
                </c:pt>
                <c:pt idx="201">
                  <c:v>120000</c:v>
                </c:pt>
                <c:pt idx="202">
                  <c:v>130000</c:v>
                </c:pt>
                <c:pt idx="203">
                  <c:v>140000</c:v>
                </c:pt>
                <c:pt idx="204">
                  <c:v>150000</c:v>
                </c:pt>
                <c:pt idx="205">
                  <c:v>160000</c:v>
                </c:pt>
                <c:pt idx="206">
                  <c:v>170000</c:v>
                </c:pt>
                <c:pt idx="207">
                  <c:v>180000</c:v>
                </c:pt>
                <c:pt idx="208">
                  <c:v>190000</c:v>
                </c:pt>
                <c:pt idx="209">
                  <c:v>200000</c:v>
                </c:pt>
                <c:pt idx="210">
                  <c:v>210000</c:v>
                </c:pt>
                <c:pt idx="211">
                  <c:v>220000</c:v>
                </c:pt>
                <c:pt idx="212">
                  <c:v>230000</c:v>
                </c:pt>
                <c:pt idx="213">
                  <c:v>240000</c:v>
                </c:pt>
                <c:pt idx="214">
                  <c:v>250000</c:v>
                </c:pt>
                <c:pt idx="215">
                  <c:v>260000</c:v>
                </c:pt>
                <c:pt idx="216">
                  <c:v>270000</c:v>
                </c:pt>
                <c:pt idx="217">
                  <c:v>280000</c:v>
                </c:pt>
                <c:pt idx="218">
                  <c:v>290000</c:v>
                </c:pt>
                <c:pt idx="219">
                  <c:v>300000</c:v>
                </c:pt>
                <c:pt idx="220">
                  <c:v>310000</c:v>
                </c:pt>
                <c:pt idx="221">
                  <c:v>320000</c:v>
                </c:pt>
                <c:pt idx="222">
                  <c:v>330000</c:v>
                </c:pt>
                <c:pt idx="223">
                  <c:v>340000</c:v>
                </c:pt>
                <c:pt idx="224">
                  <c:v>350000</c:v>
                </c:pt>
                <c:pt idx="225">
                  <c:v>360000</c:v>
                </c:pt>
                <c:pt idx="226">
                  <c:v>370000</c:v>
                </c:pt>
                <c:pt idx="227">
                  <c:v>380000</c:v>
                </c:pt>
                <c:pt idx="228">
                  <c:v>390000</c:v>
                </c:pt>
                <c:pt idx="229">
                  <c:v>400000</c:v>
                </c:pt>
                <c:pt idx="230">
                  <c:v>410000</c:v>
                </c:pt>
                <c:pt idx="231">
                  <c:v>420000</c:v>
                </c:pt>
                <c:pt idx="232">
                  <c:v>430000</c:v>
                </c:pt>
                <c:pt idx="233">
                  <c:v>440000</c:v>
                </c:pt>
                <c:pt idx="234">
                  <c:v>450000</c:v>
                </c:pt>
                <c:pt idx="235">
                  <c:v>460000</c:v>
                </c:pt>
                <c:pt idx="236">
                  <c:v>470000</c:v>
                </c:pt>
                <c:pt idx="237">
                  <c:v>480000</c:v>
                </c:pt>
                <c:pt idx="238">
                  <c:v>490000</c:v>
                </c:pt>
                <c:pt idx="239">
                  <c:v>500000</c:v>
                </c:pt>
                <c:pt idx="240">
                  <c:v>510000</c:v>
                </c:pt>
                <c:pt idx="241">
                  <c:v>520000</c:v>
                </c:pt>
                <c:pt idx="242">
                  <c:v>530000</c:v>
                </c:pt>
                <c:pt idx="243">
                  <c:v>540000</c:v>
                </c:pt>
                <c:pt idx="244">
                  <c:v>550000</c:v>
                </c:pt>
                <c:pt idx="245">
                  <c:v>560000</c:v>
                </c:pt>
                <c:pt idx="246">
                  <c:v>570000</c:v>
                </c:pt>
                <c:pt idx="247">
                  <c:v>580000</c:v>
                </c:pt>
                <c:pt idx="248">
                  <c:v>590000</c:v>
                </c:pt>
                <c:pt idx="249">
                  <c:v>600000</c:v>
                </c:pt>
                <c:pt idx="250">
                  <c:v>610000</c:v>
                </c:pt>
                <c:pt idx="251">
                  <c:v>620000</c:v>
                </c:pt>
                <c:pt idx="252">
                  <c:v>630000</c:v>
                </c:pt>
                <c:pt idx="253">
                  <c:v>640000</c:v>
                </c:pt>
                <c:pt idx="254">
                  <c:v>650000</c:v>
                </c:pt>
                <c:pt idx="255">
                  <c:v>660000</c:v>
                </c:pt>
                <c:pt idx="256">
                  <c:v>670000</c:v>
                </c:pt>
                <c:pt idx="257">
                  <c:v>680000</c:v>
                </c:pt>
                <c:pt idx="258">
                  <c:v>690000</c:v>
                </c:pt>
                <c:pt idx="259">
                  <c:v>700000</c:v>
                </c:pt>
                <c:pt idx="260">
                  <c:v>710000</c:v>
                </c:pt>
                <c:pt idx="261">
                  <c:v>720000</c:v>
                </c:pt>
                <c:pt idx="262">
                  <c:v>730000</c:v>
                </c:pt>
                <c:pt idx="263">
                  <c:v>740000</c:v>
                </c:pt>
                <c:pt idx="264">
                  <c:v>750000</c:v>
                </c:pt>
                <c:pt idx="265">
                  <c:v>760000</c:v>
                </c:pt>
                <c:pt idx="266">
                  <c:v>770000</c:v>
                </c:pt>
                <c:pt idx="267">
                  <c:v>780000</c:v>
                </c:pt>
                <c:pt idx="268">
                  <c:v>790000</c:v>
                </c:pt>
                <c:pt idx="269">
                  <c:v>800000</c:v>
                </c:pt>
                <c:pt idx="270">
                  <c:v>810000</c:v>
                </c:pt>
                <c:pt idx="271">
                  <c:v>820000</c:v>
                </c:pt>
                <c:pt idx="272">
                  <c:v>830000</c:v>
                </c:pt>
                <c:pt idx="273">
                  <c:v>840000</c:v>
                </c:pt>
                <c:pt idx="274">
                  <c:v>850000</c:v>
                </c:pt>
                <c:pt idx="275">
                  <c:v>860000</c:v>
                </c:pt>
                <c:pt idx="276">
                  <c:v>870000</c:v>
                </c:pt>
                <c:pt idx="277">
                  <c:v>880000</c:v>
                </c:pt>
                <c:pt idx="278">
                  <c:v>890000</c:v>
                </c:pt>
                <c:pt idx="279">
                  <c:v>900000</c:v>
                </c:pt>
                <c:pt idx="280">
                  <c:v>910000</c:v>
                </c:pt>
                <c:pt idx="281">
                  <c:v>920000</c:v>
                </c:pt>
                <c:pt idx="282">
                  <c:v>930000</c:v>
                </c:pt>
                <c:pt idx="283">
                  <c:v>940000</c:v>
                </c:pt>
                <c:pt idx="284">
                  <c:v>950000</c:v>
                </c:pt>
                <c:pt idx="285">
                  <c:v>960000</c:v>
                </c:pt>
                <c:pt idx="286">
                  <c:v>970000</c:v>
                </c:pt>
                <c:pt idx="287">
                  <c:v>980000</c:v>
                </c:pt>
                <c:pt idx="288">
                  <c:v>990000</c:v>
                </c:pt>
                <c:pt idx="289">
                  <c:v>1000000</c:v>
                </c:pt>
                <c:pt idx="290">
                  <c:v>1100000</c:v>
                </c:pt>
                <c:pt idx="291">
                  <c:v>1200000</c:v>
                </c:pt>
                <c:pt idx="292">
                  <c:v>1300000</c:v>
                </c:pt>
                <c:pt idx="293">
                  <c:v>1400000</c:v>
                </c:pt>
                <c:pt idx="294">
                  <c:v>1500000</c:v>
                </c:pt>
                <c:pt idx="295">
                  <c:v>1600000</c:v>
                </c:pt>
                <c:pt idx="296">
                  <c:v>1700000</c:v>
                </c:pt>
                <c:pt idx="297">
                  <c:v>1800000</c:v>
                </c:pt>
                <c:pt idx="298">
                  <c:v>1900000</c:v>
                </c:pt>
                <c:pt idx="299">
                  <c:v>2000000</c:v>
                </c:pt>
                <c:pt idx="300">
                  <c:v>2100000</c:v>
                </c:pt>
                <c:pt idx="301">
                  <c:v>2200000</c:v>
                </c:pt>
                <c:pt idx="302">
                  <c:v>2300000</c:v>
                </c:pt>
                <c:pt idx="303">
                  <c:v>2400000</c:v>
                </c:pt>
                <c:pt idx="304">
                  <c:v>2500000</c:v>
                </c:pt>
                <c:pt idx="305">
                  <c:v>2600000</c:v>
                </c:pt>
                <c:pt idx="306">
                  <c:v>2700000</c:v>
                </c:pt>
                <c:pt idx="307">
                  <c:v>2800000</c:v>
                </c:pt>
                <c:pt idx="308">
                  <c:v>2900000</c:v>
                </c:pt>
                <c:pt idx="309">
                  <c:v>3000000</c:v>
                </c:pt>
                <c:pt idx="310">
                  <c:v>3100000</c:v>
                </c:pt>
                <c:pt idx="311">
                  <c:v>3200000</c:v>
                </c:pt>
                <c:pt idx="312">
                  <c:v>3300000</c:v>
                </c:pt>
                <c:pt idx="313">
                  <c:v>3400000</c:v>
                </c:pt>
                <c:pt idx="314">
                  <c:v>3500000</c:v>
                </c:pt>
                <c:pt idx="315">
                  <c:v>3600000</c:v>
                </c:pt>
                <c:pt idx="316">
                  <c:v>3700000</c:v>
                </c:pt>
                <c:pt idx="317">
                  <c:v>3800000</c:v>
                </c:pt>
                <c:pt idx="318">
                  <c:v>3900000</c:v>
                </c:pt>
                <c:pt idx="319">
                  <c:v>4000000</c:v>
                </c:pt>
                <c:pt idx="320">
                  <c:v>4100000</c:v>
                </c:pt>
                <c:pt idx="321">
                  <c:v>4200000</c:v>
                </c:pt>
                <c:pt idx="322">
                  <c:v>4300000</c:v>
                </c:pt>
                <c:pt idx="323">
                  <c:v>4400000</c:v>
                </c:pt>
                <c:pt idx="324">
                  <c:v>4500000</c:v>
                </c:pt>
                <c:pt idx="325">
                  <c:v>4600000</c:v>
                </c:pt>
                <c:pt idx="326">
                  <c:v>4700000</c:v>
                </c:pt>
                <c:pt idx="327">
                  <c:v>4800000</c:v>
                </c:pt>
                <c:pt idx="328">
                  <c:v>4900000</c:v>
                </c:pt>
                <c:pt idx="329">
                  <c:v>5000000</c:v>
                </c:pt>
                <c:pt idx="330">
                  <c:v>5100000</c:v>
                </c:pt>
                <c:pt idx="331">
                  <c:v>5200000</c:v>
                </c:pt>
                <c:pt idx="332">
                  <c:v>5300000</c:v>
                </c:pt>
                <c:pt idx="333">
                  <c:v>5400000</c:v>
                </c:pt>
                <c:pt idx="334">
                  <c:v>5500000</c:v>
                </c:pt>
                <c:pt idx="335">
                  <c:v>5600000</c:v>
                </c:pt>
                <c:pt idx="336">
                  <c:v>5700000</c:v>
                </c:pt>
                <c:pt idx="337">
                  <c:v>5800000</c:v>
                </c:pt>
                <c:pt idx="338">
                  <c:v>5900000</c:v>
                </c:pt>
                <c:pt idx="339">
                  <c:v>6000000</c:v>
                </c:pt>
                <c:pt idx="340">
                  <c:v>6100000</c:v>
                </c:pt>
                <c:pt idx="341">
                  <c:v>6200000</c:v>
                </c:pt>
                <c:pt idx="342">
                  <c:v>6300000</c:v>
                </c:pt>
                <c:pt idx="343">
                  <c:v>6400000</c:v>
                </c:pt>
                <c:pt idx="344">
                  <c:v>6500000</c:v>
                </c:pt>
                <c:pt idx="345">
                  <c:v>6600000</c:v>
                </c:pt>
                <c:pt idx="346">
                  <c:v>6700000</c:v>
                </c:pt>
                <c:pt idx="347">
                  <c:v>6800000</c:v>
                </c:pt>
                <c:pt idx="348">
                  <c:v>6900000</c:v>
                </c:pt>
                <c:pt idx="349">
                  <c:v>7000000</c:v>
                </c:pt>
                <c:pt idx="350">
                  <c:v>7100000</c:v>
                </c:pt>
                <c:pt idx="351">
                  <c:v>7200000</c:v>
                </c:pt>
                <c:pt idx="352">
                  <c:v>7300000</c:v>
                </c:pt>
                <c:pt idx="353">
                  <c:v>7400000</c:v>
                </c:pt>
                <c:pt idx="354">
                  <c:v>7500000</c:v>
                </c:pt>
                <c:pt idx="355">
                  <c:v>7600000</c:v>
                </c:pt>
                <c:pt idx="356">
                  <c:v>7700000</c:v>
                </c:pt>
                <c:pt idx="357">
                  <c:v>7800000</c:v>
                </c:pt>
                <c:pt idx="358">
                  <c:v>7900000</c:v>
                </c:pt>
                <c:pt idx="359">
                  <c:v>8000000</c:v>
                </c:pt>
                <c:pt idx="360">
                  <c:v>8100000</c:v>
                </c:pt>
                <c:pt idx="361">
                  <c:v>8200000</c:v>
                </c:pt>
                <c:pt idx="362">
                  <c:v>8300000</c:v>
                </c:pt>
                <c:pt idx="363">
                  <c:v>8400000</c:v>
                </c:pt>
                <c:pt idx="364">
                  <c:v>8500000</c:v>
                </c:pt>
                <c:pt idx="365">
                  <c:v>8600000</c:v>
                </c:pt>
                <c:pt idx="366">
                  <c:v>8700000</c:v>
                </c:pt>
                <c:pt idx="367">
                  <c:v>8800000</c:v>
                </c:pt>
                <c:pt idx="368">
                  <c:v>8900000</c:v>
                </c:pt>
                <c:pt idx="369">
                  <c:v>9000000</c:v>
                </c:pt>
                <c:pt idx="370">
                  <c:v>9100000</c:v>
                </c:pt>
                <c:pt idx="371">
                  <c:v>9200000</c:v>
                </c:pt>
                <c:pt idx="372">
                  <c:v>9300000</c:v>
                </c:pt>
                <c:pt idx="373">
                  <c:v>9400000</c:v>
                </c:pt>
                <c:pt idx="374">
                  <c:v>9500000</c:v>
                </c:pt>
                <c:pt idx="375">
                  <c:v>9600000</c:v>
                </c:pt>
                <c:pt idx="376">
                  <c:v>9700000</c:v>
                </c:pt>
                <c:pt idx="377">
                  <c:v>9800000</c:v>
                </c:pt>
                <c:pt idx="378">
                  <c:v>9900000</c:v>
                </c:pt>
                <c:pt idx="379">
                  <c:v>10000000</c:v>
                </c:pt>
              </c:numCache>
            </c:numRef>
          </c:xVal>
          <c:yVal>
            <c:numRef>
              <c:f>'Loop Gain'!$Y$2:$Y$381</c:f>
              <c:numCache>
                <c:formatCode>General</c:formatCode>
                <c:ptCount val="380"/>
                <c:pt idx="0">
                  <c:v>-89.990718083816049</c:v>
                </c:pt>
                <c:pt idx="1">
                  <c:v>-89.907180934351743</c:v>
                </c:pt>
                <c:pt idx="2">
                  <c:v>-89.814362451676899</c:v>
                </c:pt>
                <c:pt idx="3">
                  <c:v>-89.721545134928206</c:v>
                </c:pt>
                <c:pt idx="4">
                  <c:v>-89.628729567016975</c:v>
                </c:pt>
                <c:pt idx="5">
                  <c:v>-89.535916330792446</c:v>
                </c:pt>
                <c:pt idx="6">
                  <c:v>-89.443106009021093</c:v>
                </c:pt>
                <c:pt idx="7">
                  <c:v>-89.350299184365866</c:v>
                </c:pt>
                <c:pt idx="8">
                  <c:v>-89.257496439365696</c:v>
                </c:pt>
                <c:pt idx="9">
                  <c:v>-89.164698356414561</c:v>
                </c:pt>
                <c:pt idx="10">
                  <c:v>-89.071905517741129</c:v>
                </c:pt>
                <c:pt idx="11">
                  <c:v>-88.144393497032382</c:v>
                </c:pt>
                <c:pt idx="12">
                  <c:v>-87.218044335507017</c:v>
                </c:pt>
                <c:pt idx="13">
                  <c:v>-86.293434321210228</c:v>
                </c:pt>
                <c:pt idx="14">
                  <c:v>-85.371133623119078</c:v>
                </c:pt>
                <c:pt idx="15">
                  <c:v>-84.45170433520623</c:v>
                </c:pt>
                <c:pt idx="16">
                  <c:v>-83.535698590530018</c:v>
                </c:pt>
                <c:pt idx="17">
                  <c:v>-82.623656760710332</c:v>
                </c:pt>
                <c:pt idx="18">
                  <c:v>-81.716105754799074</c:v>
                </c:pt>
                <c:pt idx="19">
                  <c:v>-80.813557430013617</c:v>
                </c:pt>
                <c:pt idx="20">
                  <c:v>-79.916507125105156</c:v>
                </c:pt>
                <c:pt idx="21">
                  <c:v>-79.02543232532598</c:v>
                </c:pt>
                <c:pt idx="22">
                  <c:v>-78.140791466076664</c:v>
                </c:pt>
                <c:pt idx="23">
                  <c:v>-77.263022880402644</c:v>
                </c:pt>
                <c:pt idx="24">
                  <c:v>-76.392543893605591</c:v>
                </c:pt>
                <c:pt idx="25">
                  <c:v>-75.529750066377204</c:v>
                </c:pt>
                <c:pt idx="26">
                  <c:v>-74.675014586085254</c:v>
                </c:pt>
                <c:pt idx="27">
                  <c:v>-73.828687804175658</c:v>
                </c:pt>
                <c:pt idx="28">
                  <c:v>-72.991096916118508</c:v>
                </c:pt>
                <c:pt idx="29">
                  <c:v>-72.162545778948854</c:v>
                </c:pt>
                <c:pt idx="30">
                  <c:v>-71.343314860242828</c:v>
                </c:pt>
                <c:pt idx="31">
                  <c:v>-70.533661311335237</c:v>
                </c:pt>
                <c:pt idx="32">
                  <c:v>-69.733819156736587</c:v>
                </c:pt>
                <c:pt idx="33">
                  <c:v>-68.943999591038931</c:v>
                </c:pt>
                <c:pt idx="34">
                  <c:v>-68.164391374107723</c:v>
                </c:pt>
                <c:pt idx="35">
                  <c:v>-67.39516131503639</c:v>
                </c:pt>
                <c:pt idx="36">
                  <c:v>-66.636454835180331</c:v>
                </c:pt>
                <c:pt idx="37">
                  <c:v>-65.888396600567177</c:v>
                </c:pt>
                <c:pt idx="38">
                  <c:v>-65.151091214097065</c:v>
                </c:pt>
                <c:pt idx="39">
                  <c:v>-64.424623958176241</c:v>
                </c:pt>
                <c:pt idx="40">
                  <c:v>-63.709061578756341</c:v>
                </c:pt>
                <c:pt idx="41">
                  <c:v>-63.004453102163197</c:v>
                </c:pt>
                <c:pt idx="42">
                  <c:v>-62.31083067657562</c:v>
                </c:pt>
                <c:pt idx="43">
                  <c:v>-61.628210430546808</c:v>
                </c:pt>
                <c:pt idx="44">
                  <c:v>-60.956593341521241</c:v>
                </c:pt>
                <c:pt idx="45">
                  <c:v>-60.295966107897677</c:v>
                </c:pt>
                <c:pt idx="46">
                  <c:v>-59.646302018780204</c:v>
                </c:pt>
                <c:pt idx="47">
                  <c:v>-59.007561816170004</c:v>
                </c:pt>
                <c:pt idx="48">
                  <c:v>-58.379694544937415</c:v>
                </c:pt>
                <c:pt idx="49">
                  <c:v>-57.762638386500278</c:v>
                </c:pt>
                <c:pt idx="50">
                  <c:v>-57.156321472684951</c:v>
                </c:pt>
                <c:pt idx="51">
                  <c:v>-56.560662676779927</c:v>
                </c:pt>
                <c:pt idx="52">
                  <c:v>-55.975572379290988</c:v>
                </c:pt>
                <c:pt idx="53">
                  <c:v>-55.400953206371547</c:v>
                </c:pt>
                <c:pt idx="54">
                  <c:v>-54.8367007393351</c:v>
                </c:pt>
                <c:pt idx="55">
                  <c:v>-54.282704194050389</c:v>
                </c:pt>
                <c:pt idx="56">
                  <c:v>-53.738847069375694</c:v>
                </c:pt>
                <c:pt idx="57">
                  <c:v>-53.205007764117148</c:v>
                </c:pt>
                <c:pt idx="58">
                  <c:v>-52.681060162277468</c:v>
                </c:pt>
                <c:pt idx="59">
                  <c:v>-52.166874186619722</c:v>
                </c:pt>
                <c:pt idx="60">
                  <c:v>-51.662316320790097</c:v>
                </c:pt>
                <c:pt idx="61">
                  <c:v>-51.167250100436334</c:v>
                </c:pt>
                <c:pt idx="62">
                  <c:v>-50.681536573922301</c:v>
                </c:pt>
                <c:pt idx="63">
                  <c:v>-50.205034733374717</c:v>
                </c:pt>
                <c:pt idx="64">
                  <c:v>-49.737601916913462</c:v>
                </c:pt>
                <c:pt idx="65">
                  <c:v>-49.279094183007714</c:v>
                </c:pt>
                <c:pt idx="66">
                  <c:v>-48.829366657970304</c:v>
                </c:pt>
                <c:pt idx="67">
                  <c:v>-48.38827385765989</c:v>
                </c:pt>
                <c:pt idx="68">
                  <c:v>-47.955669984496438</c:v>
                </c:pt>
                <c:pt idx="69">
                  <c:v>-47.531409200920393</c:v>
                </c:pt>
                <c:pt idx="70">
                  <c:v>-47.115345880439733</c:v>
                </c:pt>
                <c:pt idx="71">
                  <c:v>-46.707334837409476</c:v>
                </c:pt>
                <c:pt idx="72">
                  <c:v>-46.307231536680689</c:v>
                </c:pt>
                <c:pt idx="73">
                  <c:v>-45.91489228424328</c:v>
                </c:pt>
                <c:pt idx="74">
                  <c:v>-45.530174399963478</c:v>
                </c:pt>
                <c:pt idx="75">
                  <c:v>-45.152936373490867</c:v>
                </c:pt>
                <c:pt idx="76">
                  <c:v>-44.783038004379392</c:v>
                </c:pt>
                <c:pt idx="77">
                  <c:v>-44.420340527432238</c:v>
                </c:pt>
                <c:pt idx="78">
                  <c:v>-44.06470672424323</c:v>
                </c:pt>
                <c:pt idx="79">
                  <c:v>-43.716001021868557</c:v>
                </c:pt>
                <c:pt idx="80">
                  <c:v>-43.374089579522959</c:v>
                </c:pt>
                <c:pt idx="81">
                  <c:v>-43.038840364153153</c:v>
                </c:pt>
                <c:pt idx="82">
                  <c:v>-42.710123215699738</c:v>
                </c:pt>
                <c:pt idx="83">
                  <c:v>-42.387809902818574</c:v>
                </c:pt>
                <c:pt idx="84">
                  <c:v>-42.071774169789776</c:v>
                </c:pt>
                <c:pt idx="85">
                  <c:v>-41.761891775305536</c:v>
                </c:pt>
                <c:pt idx="86">
                  <c:v>-41.458040523784398</c:v>
                </c:pt>
                <c:pt idx="87">
                  <c:v>-41.160100289825493</c:v>
                </c:pt>
                <c:pt idx="88">
                  <c:v>-40.867953036376122</c:v>
                </c:pt>
                <c:pt idx="89">
                  <c:v>-40.581482827151959</c:v>
                </c:pt>
                <c:pt idx="90">
                  <c:v>-40.300575833813312</c:v>
                </c:pt>
                <c:pt idx="91">
                  <c:v>-40.0251203383703</c:v>
                </c:pt>
                <c:pt idx="92">
                  <c:v>-39.755006731255349</c:v>
                </c:pt>
                <c:pt idx="93">
                  <c:v>-39.49012750547309</c:v>
                </c:pt>
                <c:pt idx="94">
                  <c:v>-39.230377247209987</c:v>
                </c:pt>
                <c:pt idx="95">
                  <c:v>-38.97565262325638</c:v>
                </c:pt>
                <c:pt idx="96">
                  <c:v>-38.725852365571278</c:v>
                </c:pt>
                <c:pt idx="97">
                  <c:v>-38.480877253292846</c:v>
                </c:pt>
                <c:pt idx="98">
                  <c:v>-38.240630092477893</c:v>
                </c:pt>
                <c:pt idx="99">
                  <c:v>-38.005015693829485</c:v>
                </c:pt>
                <c:pt idx="100">
                  <c:v>-37.773940848653908</c:v>
                </c:pt>
                <c:pt idx="101">
                  <c:v>-37.547314303267711</c:v>
                </c:pt>
                <c:pt idx="102">
                  <c:v>-37.325046732059157</c:v>
                </c:pt>
                <c:pt idx="103">
                  <c:v>-37.107050709390727</c:v>
                </c:pt>
                <c:pt idx="104">
                  <c:v>-36.893240680515142</c:v>
                </c:pt>
                <c:pt idx="105">
                  <c:v>-36.683532931661645</c:v>
                </c:pt>
                <c:pt idx="106">
                  <c:v>-36.47784555943737</c:v>
                </c:pt>
                <c:pt idx="107">
                  <c:v>-36.276098439674563</c:v>
                </c:pt>
                <c:pt idx="108">
                  <c:v>-36.078213195843986</c:v>
                </c:pt>
                <c:pt idx="109">
                  <c:v>-35.88411316714393</c:v>
                </c:pt>
                <c:pt idx="110">
                  <c:v>-34.135596593255734</c:v>
                </c:pt>
                <c:pt idx="111">
                  <c:v>-32.692781782350885</c:v>
                </c:pt>
                <c:pt idx="112">
                  <c:v>-31.502403834357974</c:v>
                </c:pt>
                <c:pt idx="113">
                  <c:v>-30.521861756196341</c:v>
                </c:pt>
                <c:pt idx="114">
                  <c:v>-29.716942050347267</c:v>
                </c:pt>
                <c:pt idx="115">
                  <c:v>-29.060009077999549</c:v>
                </c:pt>
                <c:pt idx="116">
                  <c:v>-28.528592936613062</c:v>
                </c:pt>
                <c:pt idx="117">
                  <c:v>-28.104296261859368</c:v>
                </c:pt>
                <c:pt idx="118">
                  <c:v>-27.77194954625848</c:v>
                </c:pt>
                <c:pt idx="119">
                  <c:v>-27.518957401828157</c:v>
                </c:pt>
                <c:pt idx="120">
                  <c:v>-27.334790684297371</c:v>
                </c:pt>
                <c:pt idx="121">
                  <c:v>-27.210589935283789</c:v>
                </c:pt>
                <c:pt idx="122">
                  <c:v>-27.138853948420977</c:v>
                </c:pt>
                <c:pt idx="123">
                  <c:v>-27.11319367558011</c:v>
                </c:pt>
                <c:pt idx="124">
                  <c:v>-27.128136532273341</c:v>
                </c:pt>
                <c:pt idx="125">
                  <c:v>-27.178969792761666</c:v>
                </c:pt>
                <c:pt idx="126">
                  <c:v>-27.261614481591977</c:v>
                </c:pt>
                <c:pt idx="127">
                  <c:v>-27.372523201140179</c:v>
                </c:pt>
                <c:pt idx="128">
                  <c:v>-27.508596860084559</c:v>
                </c:pt>
                <c:pt idx="129">
                  <c:v>-27.667116416655265</c:v>
                </c:pt>
                <c:pt idx="130">
                  <c:v>-27.845686619903397</c:v>
                </c:pt>
                <c:pt idx="131">
                  <c:v>-28.042189393490311</c:v>
                </c:pt>
                <c:pt idx="132">
                  <c:v>-28.254745012159464</c:v>
                </c:pt>
                <c:pt idx="133">
                  <c:v>-28.481679609883244</c:v>
                </c:pt>
                <c:pt idx="134">
                  <c:v>-28.721497859343245</c:v>
                </c:pt>
                <c:pt idx="135">
                  <c:v>-28.972859896189853</c:v>
                </c:pt>
                <c:pt idx="136">
                  <c:v>-29.234561744312931</c:v>
                </c:pt>
                <c:pt idx="137">
                  <c:v>-29.50551864203991</c:v>
                </c:pt>
                <c:pt idx="138">
                  <c:v>-29.784750782719751</c:v>
                </c:pt>
                <c:pt idx="139">
                  <c:v>-30.071371073332976</c:v>
                </c:pt>
                <c:pt idx="140">
                  <c:v>-30.364574586759524</c:v>
                </c:pt>
                <c:pt idx="141">
                  <c:v>-30.663629441076633</c:v>
                </c:pt>
                <c:pt idx="142">
                  <c:v>-30.96786888579177</c:v>
                </c:pt>
                <c:pt idx="143">
                  <c:v>-31.276684412585578</c:v>
                </c:pt>
                <c:pt idx="144">
                  <c:v>-31.589519738763077</c:v>
                </c:pt>
                <c:pt idx="145">
                  <c:v>-31.905865536621086</c:v>
                </c:pt>
                <c:pt idx="146">
                  <c:v>-32.225254802436574</c:v>
                </c:pt>
                <c:pt idx="147">
                  <c:v>-32.547258775656985</c:v>
                </c:pt>
                <c:pt idx="148">
                  <c:v>-32.871483332810605</c:v>
                </c:pt>
                <c:pt idx="149">
                  <c:v>-33.197565792216466</c:v>
                </c:pt>
                <c:pt idx="150">
                  <c:v>-33.525172075190149</c:v>
                </c:pt>
                <c:pt idx="151">
                  <c:v>-33.853994177474831</c:v>
                </c:pt>
                <c:pt idx="152">
                  <c:v>-34.183747911354367</c:v>
                </c:pt>
                <c:pt idx="153">
                  <c:v>-34.514170884560016</c:v>
                </c:pt>
                <c:pt idx="154">
                  <c:v>-34.845020686849189</c:v>
                </c:pt>
                <c:pt idx="155">
                  <c:v>-35.176073259163303</c:v>
                </c:pt>
                <c:pt idx="156">
                  <c:v>-35.507121423691899</c:v>
                </c:pt>
                <c:pt idx="157">
                  <c:v>-35.837973556071482</c:v>
                </c:pt>
                <c:pt idx="158">
                  <c:v>-36.168452383428104</c:v>
                </c:pt>
                <c:pt idx="159">
                  <c:v>-36.498393894087663</c:v>
                </c:pt>
                <c:pt idx="160">
                  <c:v>-36.82764634659231</c:v>
                </c:pt>
                <c:pt idx="161">
                  <c:v>-37.156069367219438</c:v>
                </c:pt>
                <c:pt idx="162">
                  <c:v>-37.483533126541658</c:v>
                </c:pt>
                <c:pt idx="163">
                  <c:v>-37.809917586723238</c:v>
                </c:pt>
                <c:pt idx="164">
                  <c:v>-38.135111812248375</c:v>
                </c:pt>
                <c:pt idx="165">
                  <c:v>-38.459013337646674</c:v>
                </c:pt>
                <c:pt idx="166">
                  <c:v>-38.781527586531865</c:v>
                </c:pt>
                <c:pt idx="167">
                  <c:v>-39.102567336926938</c:v>
                </c:pt>
                <c:pt idx="168">
                  <c:v>-39.422052228419851</c:v>
                </c:pt>
                <c:pt idx="169">
                  <c:v>-39.739908307192643</c:v>
                </c:pt>
                <c:pt idx="170">
                  <c:v>-40.056067605404422</c:v>
                </c:pt>
                <c:pt idx="171">
                  <c:v>-40.370467751791999</c:v>
                </c:pt>
                <c:pt idx="172">
                  <c:v>-40.683051610686569</c:v>
                </c:pt>
                <c:pt idx="173">
                  <c:v>-40.993766946942387</c:v>
                </c:pt>
                <c:pt idx="174">
                  <c:v>-41.302566114533846</c:v>
                </c:pt>
                <c:pt idx="175">
                  <c:v>-41.609405766807413</c:v>
                </c:pt>
                <c:pt idx="176">
                  <c:v>-41.914246586576617</c:v>
                </c:pt>
                <c:pt idx="177">
                  <c:v>-42.217053034433171</c:v>
                </c:pt>
                <c:pt idx="178">
                  <c:v>-42.517793113800764</c:v>
                </c:pt>
                <c:pt idx="179">
                  <c:v>-42.816438151406281</c:v>
                </c:pt>
                <c:pt idx="180">
                  <c:v>-43.112962591964191</c:v>
                </c:pt>
                <c:pt idx="181">
                  <c:v>-43.40734380598618</c:v>
                </c:pt>
                <c:pt idx="182">
                  <c:v>-43.699561909727564</c:v>
                </c:pt>
                <c:pt idx="183">
                  <c:v>-43.989599596368897</c:v>
                </c:pt>
                <c:pt idx="184">
                  <c:v>-44.277441977616931</c:v>
                </c:pt>
                <c:pt idx="185">
                  <c:v>-44.563076434976459</c:v>
                </c:pt>
                <c:pt idx="186">
                  <c:v>-44.846492480010042</c:v>
                </c:pt>
                <c:pt idx="187">
                  <c:v>-45.127681622963415</c:v>
                </c:pt>
                <c:pt idx="188">
                  <c:v>-45.406637249183277</c:v>
                </c:pt>
                <c:pt idx="189">
                  <c:v>-45.683354502802672</c:v>
                </c:pt>
                <c:pt idx="190">
                  <c:v>-45.957830177212372</c:v>
                </c:pt>
                <c:pt idx="191">
                  <c:v>-46.230062611874573</c:v>
                </c:pt>
                <c:pt idx="192">
                  <c:v>-46.500051595068385</c:v>
                </c:pt>
                <c:pt idx="193">
                  <c:v>-46.767798272192039</c:v>
                </c:pt>
                <c:pt idx="194">
                  <c:v>-47.033305059271505</c:v>
                </c:pt>
                <c:pt idx="195">
                  <c:v>-47.296575561353656</c:v>
                </c:pt>
                <c:pt idx="196">
                  <c:v>-47.557614495483911</c:v>
                </c:pt>
                <c:pt idx="197">
                  <c:v>-47.816427617992943</c:v>
                </c:pt>
                <c:pt idx="198">
                  <c:v>-48.073021655833131</c:v>
                </c:pt>
                <c:pt idx="199">
                  <c:v>-48.327404241726519</c:v>
                </c:pt>
                <c:pt idx="200">
                  <c:v>-50.751813939406176</c:v>
                </c:pt>
                <c:pt idx="201">
                  <c:v>-52.968218209125517</c:v>
                </c:pt>
                <c:pt idx="202">
                  <c:v>-54.992124687675918</c:v>
                </c:pt>
                <c:pt idx="203">
                  <c:v>-56.840348629190622</c:v>
                </c:pt>
                <c:pt idx="204">
                  <c:v>-58.529588027218061</c:v>
                </c:pt>
                <c:pt idx="205">
                  <c:v>-60.075669910668253</c:v>
                </c:pt>
                <c:pt idx="206">
                  <c:v>-61.493191641934636</c:v>
                </c:pt>
                <c:pt idx="207">
                  <c:v>-62.795391602592566</c:v>
                </c:pt>
                <c:pt idx="208">
                  <c:v>-63.994149321844432</c:v>
                </c:pt>
                <c:pt idx="209">
                  <c:v>-65.100054881025741</c:v>
                </c:pt>
                <c:pt idx="210">
                  <c:v>-66.122511732912741</c:v>
                </c:pt>
                <c:pt idx="211">
                  <c:v>-67.069851954287927</c:v>
                </c:pt>
                <c:pt idx="212">
                  <c:v>-67.949452032992781</c:v>
                </c:pt>
                <c:pt idx="213">
                  <c:v>-68.767842794589271</c:v>
                </c:pt>
                <c:pt idx="214">
                  <c:v>-69.530810367517816</c:v>
                </c:pt>
                <c:pt idx="215">
                  <c:v>-70.243487017958799</c:v>
                </c:pt>
                <c:pt idx="216">
                  <c:v>-70.910431783538371</c:v>
                </c:pt>
                <c:pt idx="217">
                  <c:v>-71.535701425951089</c:v>
                </c:pt>
                <c:pt idx="218">
                  <c:v>-72.122912509438564</c:v>
                </c:pt>
                <c:pt idx="219">
                  <c:v>-72.675295520298491</c:v>
                </c:pt>
                <c:pt idx="220">
                  <c:v>-73.195741949223518</c:v>
                </c:pt>
                <c:pt idx="221">
                  <c:v>-73.68684521021946</c:v>
                </c:pt>
                <c:pt idx="222">
                  <c:v>-74.150936195300645</c:v>
                </c:pt>
                <c:pt idx="223">
                  <c:v>-74.590114179685656</c:v>
                </c:pt>
                <c:pt idx="224">
                  <c:v>-75.006273707255758</c:v>
                </c:pt>
                <c:pt idx="225">
                  <c:v>-75.40112800565764</c:v>
                </c:pt>
                <c:pt idx="226">
                  <c:v>-75.776229407077523</c:v>
                </c:pt>
                <c:pt idx="227">
                  <c:v>-76.13298718529721</c:v>
                </c:pt>
                <c:pt idx="228">
                  <c:v>-76.472683162175201</c:v>
                </c:pt>
                <c:pt idx="229">
                  <c:v>-76.796485386743967</c:v>
                </c:pt>
                <c:pt idx="230">
                  <c:v>-77.105460146992584</c:v>
                </c:pt>
                <c:pt idx="231">
                  <c:v>-77.400582537365707</c:v>
                </c:pt>
                <c:pt idx="232">
                  <c:v>-77.68274577329467</c:v>
                </c:pt>
                <c:pt idx="233">
                  <c:v>-77.952769416978015</c:v>
                </c:pt>
                <c:pt idx="234">
                  <c:v>-78.211406655498919</c:v>
                </c:pt>
                <c:pt idx="235">
                  <c:v>-78.459350752637377</c:v>
                </c:pt>
                <c:pt idx="236">
                  <c:v>-78.697240778900195</c:v>
                </c:pt>
                <c:pt idx="237">
                  <c:v>-78.925666709927</c:v>
                </c:pt>
                <c:pt idx="238">
                  <c:v>-79.145173971158428</c:v>
                </c:pt>
                <c:pt idx="239">
                  <c:v>-79.356267496162914</c:v>
                </c:pt>
                <c:pt idx="240">
                  <c:v>-79.559415357037011</c:v>
                </c:pt>
                <c:pt idx="241">
                  <c:v>-79.755052017600121</c:v>
                </c:pt>
                <c:pt idx="242">
                  <c:v>-79.943581253495964</c:v>
                </c:pt>
                <c:pt idx="243">
                  <c:v>-80.125378777637493</c:v>
                </c:pt>
                <c:pt idx="244">
                  <c:v>-80.300794604540826</c:v>
                </c:pt>
                <c:pt idx="245">
                  <c:v>-80.470155182880575</c:v>
                </c:pt>
                <c:pt idx="246">
                  <c:v>-80.63376532195521</c:v>
                </c:pt>
                <c:pt idx="247">
                  <c:v>-80.791909934602344</c:v>
                </c:pt>
                <c:pt idx="248">
                  <c:v>-80.944855616372863</c:v>
                </c:pt>
                <c:pt idx="249">
                  <c:v>-81.092852078402515</c:v>
                </c:pt>
                <c:pt idx="250">
                  <c:v>-81.236133449358505</c:v>
                </c:pt>
                <c:pt idx="251">
                  <c:v>-81.374919460043387</c:v>
                </c:pt>
                <c:pt idx="252">
                  <c:v>-81.509416522672339</c:v>
                </c:pt>
                <c:pt idx="253">
                  <c:v>-81.639818715471165</c:v>
                </c:pt>
                <c:pt idx="254">
                  <c:v>-81.766308682042919</c:v>
                </c:pt>
                <c:pt idx="255">
                  <c:v>-81.889058453903075</c:v>
                </c:pt>
                <c:pt idx="256">
                  <c:v>-82.008230203657675</c:v>
                </c:pt>
                <c:pt idx="257">
                  <c:v>-82.123976935489921</c:v>
                </c:pt>
                <c:pt idx="258">
                  <c:v>-82.236443118903864</c:v>
                </c:pt>
                <c:pt idx="259">
                  <c:v>-82.345765271046233</c:v>
                </c:pt>
                <c:pt idx="260">
                  <c:v>-82.452072492365502</c:v>
                </c:pt>
                <c:pt idx="261">
                  <c:v>-82.555486959880909</c:v>
                </c:pt>
                <c:pt idx="262">
                  <c:v>-82.656124381889953</c:v>
                </c:pt>
                <c:pt idx="263">
                  <c:v>-82.754094417562925</c:v>
                </c:pt>
                <c:pt idx="264">
                  <c:v>-82.849501064520481</c:v>
                </c:pt>
                <c:pt idx="265">
                  <c:v>-82.942443017191721</c:v>
                </c:pt>
                <c:pt idx="266">
                  <c:v>-83.033013998470778</c:v>
                </c:pt>
                <c:pt idx="267">
                  <c:v>-83.121303066949935</c:v>
                </c:pt>
                <c:pt idx="268">
                  <c:v>-83.207394901788504</c:v>
                </c:pt>
                <c:pt idx="269">
                  <c:v>-83.291370067081218</c:v>
                </c:pt>
                <c:pt idx="270">
                  <c:v>-83.373305257417456</c:v>
                </c:pt>
                <c:pt idx="271">
                  <c:v>-83.453273526163557</c:v>
                </c:pt>
                <c:pt idx="272">
                  <c:v>-83.531344497862918</c:v>
                </c:pt>
                <c:pt idx="273">
                  <c:v>-83.607584566020108</c:v>
                </c:pt>
                <c:pt idx="274">
                  <c:v>-83.682057077423096</c:v>
                </c:pt>
                <c:pt idx="275">
                  <c:v>-83.754822504054403</c:v>
                </c:pt>
                <c:pt idx="276">
                  <c:v>-83.825938603550668</c:v>
                </c:pt>
                <c:pt idx="277">
                  <c:v>-83.895460569085927</c:v>
                </c:pt>
                <c:pt idx="278">
                  <c:v>-83.963441169479296</c:v>
                </c:pt>
                <c:pt idx="279">
                  <c:v>-84.029930880258959</c:v>
                </c:pt>
                <c:pt idx="280">
                  <c:v>-84.094978006353458</c:v>
                </c:pt>
                <c:pt idx="281">
                  <c:v>-84.158628797024477</c:v>
                </c:pt>
                <c:pt idx="282">
                  <c:v>-84.220927553605165</c:v>
                </c:pt>
                <c:pt idx="283">
                  <c:v>-84.281916730561534</c:v>
                </c:pt>
                <c:pt idx="284">
                  <c:v>-84.3416370303528</c:v>
                </c:pt>
                <c:pt idx="285">
                  <c:v>-84.40012749252827</c:v>
                </c:pt>
                <c:pt idx="286">
                  <c:v>-84.457425577463184</c:v>
                </c:pt>
                <c:pt idx="287">
                  <c:v>-84.513567245105094</c:v>
                </c:pt>
                <c:pt idx="288">
                  <c:v>-84.568587029072546</c:v>
                </c:pt>
                <c:pt idx="289">
                  <c:v>-84.622518106421737</c:v>
                </c:pt>
                <c:pt idx="290">
                  <c:v>-85.108400087992976</c:v>
                </c:pt>
                <c:pt idx="291">
                  <c:v>-85.513951968216247</c:v>
                </c:pt>
                <c:pt idx="292">
                  <c:v>-85.857535242153745</c:v>
                </c:pt>
                <c:pt idx="293">
                  <c:v>-86.152321135902099</c:v>
                </c:pt>
                <c:pt idx="294">
                  <c:v>-86.408000718403116</c:v>
                </c:pt>
                <c:pt idx="295">
                  <c:v>-86.631861581901759</c:v>
                </c:pt>
                <c:pt idx="296">
                  <c:v>-86.829488570952691</c:v>
                </c:pt>
                <c:pt idx="297">
                  <c:v>-87.005233123881908</c:v>
                </c:pt>
                <c:pt idx="298">
                  <c:v>-87.16253563132878</c:v>
                </c:pt>
                <c:pt idx="299">
                  <c:v>-87.304151803309708</c:v>
                </c:pt>
                <c:pt idx="300">
                  <c:v>-87.432314789940961</c:v>
                </c:pt>
                <c:pt idx="301">
                  <c:v>-87.548853352814831</c:v>
                </c:pt>
                <c:pt idx="302">
                  <c:v>-87.655279376982932</c:v>
                </c:pt>
                <c:pt idx="303">
                  <c:v>-87.752853613591455</c:v>
                </c:pt>
                <c:pt idx="304">
                  <c:v>-87.842635716017156</c:v>
                </c:pt>
                <c:pt idx="305">
                  <c:v>-87.925522777443959</c:v>
                </c:pt>
                <c:pt idx="306">
                  <c:v>-88.002279337527909</c:v>
                </c:pt>
                <c:pt idx="307">
                  <c:v>-88.073560981980634</c:v>
                </c:pt>
                <c:pt idx="308">
                  <c:v>-88.139933075627411</c:v>
                </c:pt>
                <c:pt idx="309">
                  <c:v>-88.201885760381643</c:v>
                </c:pt>
                <c:pt idx="310">
                  <c:v>-88.25984605871686</c:v>
                </c:pt>
                <c:pt idx="311">
                  <c:v>-88.314187713827138</c:v>
                </c:pt>
                <c:pt idx="312">
                  <c:v>-88.365239245166123</c:v>
                </c:pt>
                <c:pt idx="313">
                  <c:v>-88.413290585776551</c:v>
                </c:pt>
                <c:pt idx="314">
                  <c:v>-88.458598584319233</c:v>
                </c:pt>
                <c:pt idx="315">
                  <c:v>-88.501391592016859</c:v>
                </c:pt>
                <c:pt idx="316">
                  <c:v>-88.541873307239356</c:v>
                </c:pt>
                <c:pt idx="317">
                  <c:v>-88.580226014183978</c:v>
                </c:pt>
                <c:pt idx="318">
                  <c:v>-88.616613324178942</c:v>
                </c:pt>
                <c:pt idx="319">
                  <c:v>-88.651182506482016</c:v>
                </c:pt>
                <c:pt idx="320">
                  <c:v>-88.684066478530468</c:v>
                </c:pt>
                <c:pt idx="321">
                  <c:v>-88.715385512300855</c:v>
                </c:pt>
                <c:pt idx="322">
                  <c:v>-88.745248702915774</c:v>
                </c:pt>
                <c:pt idx="323">
                  <c:v>-88.773755237261881</c:v>
                </c:pt>
                <c:pt idx="324">
                  <c:v>-88.800995493681057</c:v>
                </c:pt>
                <c:pt idx="325">
                  <c:v>-88.827051998403633</c:v>
                </c:pt>
                <c:pt idx="326">
                  <c:v>-88.852000260030124</c:v>
                </c:pt>
                <c:pt idx="327">
                  <c:v>-88.875909499823067</c:v>
                </c:pt>
                <c:pt idx="328">
                  <c:v>-88.898843292673362</c:v>
                </c:pt>
                <c:pt idx="329">
                  <c:v>-88.920860131232146</c:v>
                </c:pt>
                <c:pt idx="330">
                  <c:v>-88.942013923741456</c:v>
                </c:pt>
                <c:pt idx="331">
                  <c:v>-88.962354434478783</c:v>
                </c:pt>
                <c:pt idx="332">
                  <c:v>-88.981927674386739</c:v>
                </c:pt>
                <c:pt idx="333">
                  <c:v>-89.000776248338425</c:v>
                </c:pt>
                <c:pt idx="334">
                  <c:v>-89.018939664552278</c:v>
                </c:pt>
                <c:pt idx="335">
                  <c:v>-89.036454610882899</c:v>
                </c:pt>
                <c:pt idx="336">
                  <c:v>-89.053355202052259</c:v>
                </c:pt>
                <c:pt idx="337">
                  <c:v>-89.069673201325003</c:v>
                </c:pt>
                <c:pt idx="338">
                  <c:v>-89.085438219657448</c:v>
                </c:pt>
                <c:pt idx="339">
                  <c:v>-89.100677894946173</c:v>
                </c:pt>
                <c:pt idx="340">
                  <c:v>-89.115418053657947</c:v>
                </c:pt>
                <c:pt idx="341">
                  <c:v>-89.129682856828595</c:v>
                </c:pt>
                <c:pt idx="342">
                  <c:v>-89.143494932166448</c:v>
                </c:pt>
                <c:pt idx="343">
                  <c:v>-89.156875493778813</c:v>
                </c:pt>
                <c:pt idx="344">
                  <c:v>-89.169844450853716</c:v>
                </c:pt>
                <c:pt idx="345">
                  <c:v>-89.182420506467295</c:v>
                </c:pt>
                <c:pt idx="346">
                  <c:v>-89.194621247547829</c:v>
                </c:pt>
                <c:pt idx="347">
                  <c:v>-89.20646322690645</c:v>
                </c:pt>
                <c:pt idx="348">
                  <c:v>-89.217962038138282</c:v>
                </c:pt>
                <c:pt idx="349">
                  <c:v>-89.229132384107189</c:v>
                </c:pt>
                <c:pt idx="350">
                  <c:v>-89.239988139645973</c:v>
                </c:pt>
                <c:pt idx="351">
                  <c:v>-89.250542409033926</c:v>
                </c:pt>
                <c:pt idx="352">
                  <c:v>-89.260807578752932</c:v>
                </c:pt>
                <c:pt idx="353">
                  <c:v>-89.270795365967587</c:v>
                </c:pt>
                <c:pt idx="354">
                  <c:v>-89.280516863129122</c:v>
                </c:pt>
                <c:pt idx="355">
                  <c:v>-89.289982579059199</c:v>
                </c:pt>
                <c:pt idx="356">
                  <c:v>-89.299202476833969</c:v>
                </c:pt>
                <c:pt idx="357">
                  <c:v>-89.308186008755101</c:v>
                </c:pt>
                <c:pt idx="358">
                  <c:v>-89.316942148665987</c:v>
                </c:pt>
                <c:pt idx="359">
                  <c:v>-89.325479421845017</c:v>
                </c:pt>
                <c:pt idx="360">
                  <c:v>-89.333805932685678</c:v>
                </c:pt>
                <c:pt idx="361">
                  <c:v>-89.341929390351822</c:v>
                </c:pt>
                <c:pt idx="362">
                  <c:v>-89.349857132579046</c:v>
                </c:pt>
                <c:pt idx="363">
                  <c:v>-89.357596147776832</c:v>
                </c:pt>
                <c:pt idx="364">
                  <c:v>-89.36515309557079</c:v>
                </c:pt>
                <c:pt idx="365">
                  <c:v>-89.372534325912326</c:v>
                </c:pt>
                <c:pt idx="366">
                  <c:v>-89.379745896871</c:v>
                </c:pt>
                <c:pt idx="367">
                  <c:v>-89.386793591213873</c:v>
                </c:pt>
                <c:pt idx="368">
                  <c:v>-89.393682931867843</c:v>
                </c:pt>
                <c:pt idx="369">
                  <c:v>-89.400419196351152</c:v>
                </c:pt>
                <c:pt idx="370">
                  <c:v>-89.407007430253969</c:v>
                </c:pt>
                <c:pt idx="371">
                  <c:v>-89.413452459839831</c:v>
                </c:pt>
                <c:pt idx="372">
                  <c:v>-89.419758903834435</c:v>
                </c:pt>
                <c:pt idx="373">
                  <c:v>-89.425931184462215</c:v>
                </c:pt>
                <c:pt idx="374">
                  <c:v>-89.431973537785893</c:v>
                </c:pt>
                <c:pt idx="375">
                  <c:v>-89.437890023400286</c:v>
                </c:pt>
                <c:pt idx="376">
                  <c:v>-89.443684533526351</c:v>
                </c:pt>
                <c:pt idx="377">
                  <c:v>-89.449360801548735</c:v>
                </c:pt>
                <c:pt idx="378">
                  <c:v>-89.454922410036062</c:v>
                </c:pt>
                <c:pt idx="379">
                  <c:v>-89.460372798280119</c:v>
                </c:pt>
              </c:numCache>
            </c:numRef>
          </c:yVal>
          <c:smooth val="1"/>
          <c:extLst>
            <c:ext xmlns:c16="http://schemas.microsoft.com/office/drawing/2014/chart" uri="{C3380CC4-5D6E-409C-BE32-E72D297353CC}">
              <c16:uniqueId val="{00000000-F181-41D8-B74D-6616CC97AAD6}"/>
            </c:ext>
          </c:extLst>
        </c:ser>
        <c:dLbls>
          <c:showLegendKey val="0"/>
          <c:showVal val="0"/>
          <c:showCatName val="0"/>
          <c:showSerName val="0"/>
          <c:showPercent val="0"/>
          <c:showBubbleSize val="0"/>
        </c:dLbls>
        <c:axId val="1434155088"/>
        <c:axId val="1570699712"/>
      </c:scatterChart>
      <c:valAx>
        <c:axId val="1434155088"/>
        <c:scaling>
          <c:logBase val="10"/>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0699712"/>
        <c:crosses val="autoZero"/>
        <c:crossBetween val="midCat"/>
      </c:valAx>
      <c:valAx>
        <c:axId val="1570699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15508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752475</xdr:colOff>
      <xdr:row>134</xdr:row>
      <xdr:rowOff>8021</xdr:rowOff>
    </xdr:from>
    <xdr:to>
      <xdr:col>6</xdr:col>
      <xdr:colOff>4076700</xdr:colOff>
      <xdr:row>157</xdr:row>
      <xdr:rowOff>28576</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25400</xdr:colOff>
          <xdr:row>134</xdr:row>
          <xdr:rowOff>12700</xdr:rowOff>
        </xdr:from>
        <xdr:to>
          <xdr:col>3</xdr:col>
          <xdr:colOff>723900</xdr:colOff>
          <xdr:row>157</xdr:row>
          <xdr:rowOff>25400</xdr:rowOff>
        </xdr:to>
        <xdr:sp macro="" textlink="">
          <xdr:nvSpPr>
            <xdr:cNvPr id="1049" name="Object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solidFill>
              <a:srgbClr val="FFFFFF"/>
            </a:solidFill>
            <a:ln w="9525">
              <a:solidFill>
                <a:srgbClr val="000000"/>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38100</xdr:rowOff>
        </xdr:from>
        <xdr:to>
          <xdr:col>4</xdr:col>
          <xdr:colOff>2044700</xdr:colOff>
          <xdr:row>32</xdr:row>
          <xdr:rowOff>127000</xdr:rowOff>
        </xdr:to>
        <xdr:sp macro="" textlink="">
          <xdr:nvSpPr>
            <xdr:cNvPr id="1050" name="Object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solidFill>
              <a:srgbClr val="FFFFFF"/>
            </a:solidFill>
            <a:ln w="9525">
              <a:solidFill>
                <a:srgbClr val="000000"/>
              </a:solidFill>
              <a:miter lim="800000"/>
              <a:headEnd/>
              <a:tailEnd/>
            </a:ln>
          </xdr:spPr>
        </xdr:sp>
        <xdr:clientData/>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0.01201</cdr:x>
      <cdr:y>0.93142</cdr:y>
    </cdr:from>
    <cdr:to>
      <cdr:x>0.3484</cdr:x>
      <cdr:y>0.98097</cdr:y>
    </cdr:to>
    <cdr:sp macro="" textlink="MsgCrossoverFreq">
      <cdr:nvSpPr>
        <cdr:cNvPr id="2" name="TextBox 1">
          <a:extLst xmlns:a="http://schemas.openxmlformats.org/drawingml/2006/main">
            <a:ext uri="{FF2B5EF4-FFF2-40B4-BE49-F238E27FC236}">
              <a16:creationId xmlns:a16="http://schemas.microsoft.com/office/drawing/2014/main" id="{6E623775-EF4B-4E65-B216-5A01081A8659}"/>
            </a:ext>
          </a:extLst>
        </cdr:cNvPr>
        <cdr:cNvSpPr txBox="1"/>
      </cdr:nvSpPr>
      <cdr:spPr>
        <a:xfrm xmlns:a="http://schemas.openxmlformats.org/drawingml/2006/main">
          <a:off x="78453" y="4717678"/>
          <a:ext cx="2198021" cy="2510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A6E097E-802C-46CF-9FBE-49D85A37B522}" type="TxLink">
            <a:rPr lang="en-US" sz="1100" b="0" i="0" u="none" strike="noStrike">
              <a:solidFill>
                <a:srgbClr val="000000"/>
              </a:solidFill>
              <a:latin typeface="Calibri"/>
              <a:cs typeface="Calibri"/>
            </a:rPr>
            <a:pPr/>
            <a:t>Crossover Frequency: 429.72 Hz</a:t>
          </a:fld>
          <a:endParaRPr lang="en-US" sz="1100"/>
        </a:p>
      </cdr:txBody>
    </cdr:sp>
  </cdr:relSizeAnchor>
  <cdr:relSizeAnchor xmlns:cdr="http://schemas.openxmlformats.org/drawingml/2006/chartDrawing">
    <cdr:from>
      <cdr:x>0.36672</cdr:x>
      <cdr:y>0.93142</cdr:y>
    </cdr:from>
    <cdr:to>
      <cdr:x>0.67203</cdr:x>
      <cdr:y>0.97124</cdr:y>
    </cdr:to>
    <cdr:sp macro="" textlink="MsgPhaseMargin">
      <cdr:nvSpPr>
        <cdr:cNvPr id="3" name="TextBox 2">
          <a:extLst xmlns:a="http://schemas.openxmlformats.org/drawingml/2006/main">
            <a:ext uri="{FF2B5EF4-FFF2-40B4-BE49-F238E27FC236}">
              <a16:creationId xmlns:a16="http://schemas.microsoft.com/office/drawing/2014/main" id="{0FE16552-49FE-4274-AF57-6E307ABEC614}"/>
            </a:ext>
          </a:extLst>
        </cdr:cNvPr>
        <cdr:cNvSpPr txBox="1"/>
      </cdr:nvSpPr>
      <cdr:spPr>
        <a:xfrm xmlns:a="http://schemas.openxmlformats.org/drawingml/2006/main">
          <a:off x="2396183" y="4717678"/>
          <a:ext cx="1994990" cy="20170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9E83BCA7-8D12-470B-B316-AA957504184E}" type="TxLink">
            <a:rPr lang="en-US" sz="1100" b="0" i="0" u="none" strike="noStrike">
              <a:solidFill>
                <a:srgbClr val="000000"/>
              </a:solidFill>
              <a:latin typeface="Calibri"/>
              <a:cs typeface="Calibri"/>
            </a:rPr>
            <a:pPr/>
            <a:t>Phase Margin: 31.87 deg</a:t>
          </a:fld>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3</xdr:col>
      <xdr:colOff>2105025</xdr:colOff>
      <xdr:row>137</xdr:row>
      <xdr:rowOff>47625</xdr:rowOff>
    </xdr:from>
    <xdr:to>
      <xdr:col>5</xdr:col>
      <xdr:colOff>301364</xdr:colOff>
      <xdr:row>148</xdr:row>
      <xdr:rowOff>169856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77150" y="23783925"/>
          <a:ext cx="2676899" cy="22291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190500</xdr:colOff>
      <xdr:row>8</xdr:row>
      <xdr:rowOff>23812</xdr:rowOff>
    </xdr:from>
    <xdr:to>
      <xdr:col>6</xdr:col>
      <xdr:colOff>314325</xdr:colOff>
      <xdr:row>22</xdr:row>
      <xdr:rowOff>100012</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22</xdr:row>
      <xdr:rowOff>142875</xdr:rowOff>
    </xdr:from>
    <xdr:to>
      <xdr:col>6</xdr:col>
      <xdr:colOff>323850</xdr:colOff>
      <xdr:row>37</xdr:row>
      <xdr:rowOff>28575</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28575</xdr:colOff>
      <xdr:row>6</xdr:row>
      <xdr:rowOff>152400</xdr:rowOff>
    </xdr:from>
    <xdr:to>
      <xdr:col>15</xdr:col>
      <xdr:colOff>333375</xdr:colOff>
      <xdr:row>21</xdr:row>
      <xdr:rowOff>38100</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1371600</xdr:colOff>
      <xdr:row>22</xdr:row>
      <xdr:rowOff>9525</xdr:rowOff>
    </xdr:from>
    <xdr:to>
      <xdr:col>15</xdr:col>
      <xdr:colOff>285750</xdr:colOff>
      <xdr:row>36</xdr:row>
      <xdr:rowOff>85725</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476250</xdr:colOff>
      <xdr:row>6</xdr:row>
      <xdr:rowOff>180975</xdr:rowOff>
    </xdr:from>
    <xdr:to>
      <xdr:col>23</xdr:col>
      <xdr:colOff>171450</xdr:colOff>
      <xdr:row>21</xdr:row>
      <xdr:rowOff>66675</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523875</xdr:colOff>
      <xdr:row>22</xdr:row>
      <xdr:rowOff>47625</xdr:rowOff>
    </xdr:from>
    <xdr:to>
      <xdr:col>23</xdr:col>
      <xdr:colOff>219075</xdr:colOff>
      <xdr:row>36</xdr:row>
      <xdr:rowOff>123825</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package" Target="../embeddings/Microsoft_Visio_Drawing1.vsdx"/><Relationship Id="rId5" Type="http://schemas.openxmlformats.org/officeDocument/2006/relationships/image" Target="../media/image1.emf"/><Relationship Id="rId4" Type="http://schemas.openxmlformats.org/officeDocument/2006/relationships/package" Target="../embeddings/Microsoft_Visio_Drawing.vsd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i.com/legal/terms-conditions/terms-of-sale.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3DEDD-1D19-47AC-A50D-B8A8C835336C}">
  <sheetPr codeName="Sheet1"/>
  <dimension ref="B1:H131"/>
  <sheetViews>
    <sheetView tabSelected="1" topLeftCell="A50" zoomScaleNormal="100" workbookViewId="0">
      <selection activeCell="D85" sqref="D85"/>
    </sheetView>
  </sheetViews>
  <sheetFormatPr baseColWidth="10" defaultColWidth="8.83203125" defaultRowHeight="16" x14ac:dyDescent="0.2"/>
  <cols>
    <col min="2" max="2" width="56.83203125" style="7" customWidth="1"/>
    <col min="3" max="3" width="13.5" style="7" customWidth="1"/>
    <col min="4" max="5" width="31" style="7" customWidth="1"/>
    <col min="6" max="6" width="21.1640625" customWidth="1"/>
    <col min="7" max="7" width="61.33203125" style="10" bestFit="1" customWidth="1"/>
  </cols>
  <sheetData>
    <row r="1" spans="2:8" ht="34.5" customHeight="1" x14ac:dyDescent="0.5">
      <c r="B1" s="38" t="s">
        <v>401</v>
      </c>
      <c r="C1" s="38"/>
      <c r="D1" s="38"/>
      <c r="E1" s="38"/>
      <c r="F1" s="38"/>
      <c r="G1" s="38"/>
      <c r="H1" s="2"/>
    </row>
    <row r="2" spans="2:8" ht="17" thickBot="1" x14ac:dyDescent="0.25">
      <c r="D2" s="13" t="s">
        <v>0</v>
      </c>
      <c r="E2" s="7" t="s">
        <v>373</v>
      </c>
    </row>
    <row r="3" spans="2:8" x14ac:dyDescent="0.2">
      <c r="B3" s="40" t="s">
        <v>1</v>
      </c>
      <c r="C3" s="41"/>
      <c r="D3" s="41"/>
      <c r="E3" s="41"/>
      <c r="F3" s="41"/>
      <c r="G3" s="42"/>
    </row>
    <row r="4" spans="2:8" ht="15" customHeight="1" x14ac:dyDescent="0.2">
      <c r="B4" s="43" t="s">
        <v>294</v>
      </c>
      <c r="C4" s="44"/>
      <c r="D4" s="44"/>
      <c r="E4" s="44"/>
      <c r="F4" s="44"/>
      <c r="G4" s="45"/>
    </row>
    <row r="5" spans="2:8" ht="15" customHeight="1" x14ac:dyDescent="0.2">
      <c r="B5" s="43"/>
      <c r="C5" s="44"/>
      <c r="D5" s="44"/>
      <c r="E5" s="44"/>
      <c r="F5" s="44"/>
      <c r="G5" s="45"/>
    </row>
    <row r="6" spans="2:8" ht="15" customHeight="1" x14ac:dyDescent="0.2">
      <c r="B6" s="43"/>
      <c r="C6" s="44"/>
      <c r="D6" s="44"/>
      <c r="E6" s="44"/>
      <c r="F6" s="44"/>
      <c r="G6" s="45"/>
    </row>
    <row r="7" spans="2:8" ht="15.75" customHeight="1" thickBot="1" x14ac:dyDescent="0.25">
      <c r="B7" s="46"/>
      <c r="C7" s="47"/>
      <c r="D7" s="47"/>
      <c r="E7" s="47"/>
      <c r="F7" s="47"/>
      <c r="G7" s="48"/>
    </row>
    <row r="8" spans="2:8" ht="52.5" customHeight="1" x14ac:dyDescent="0.2">
      <c r="B8" s="49" t="s">
        <v>402</v>
      </c>
      <c r="C8" s="50"/>
      <c r="D8" s="50"/>
      <c r="E8" s="50"/>
      <c r="F8" s="50"/>
      <c r="G8" s="51"/>
    </row>
    <row r="9" spans="2:8" ht="21" x14ac:dyDescent="0.2">
      <c r="B9" s="52" t="s">
        <v>2</v>
      </c>
      <c r="C9" s="53"/>
      <c r="D9" s="53"/>
      <c r="E9" s="53"/>
      <c r="F9" s="53"/>
      <c r="G9" s="54"/>
    </row>
    <row r="10" spans="2:8" ht="22" thickBot="1" x14ac:dyDescent="0.25">
      <c r="B10" s="55" t="s">
        <v>125</v>
      </c>
      <c r="C10" s="56"/>
      <c r="D10" s="56"/>
      <c r="E10" s="56"/>
      <c r="F10" s="56"/>
      <c r="G10" s="57"/>
    </row>
    <row r="11" spans="2:8" ht="79.5" customHeight="1" thickBot="1" x14ac:dyDescent="0.25">
      <c r="B11" s="58" t="s">
        <v>3</v>
      </c>
      <c r="C11" s="59"/>
      <c r="D11" s="59"/>
      <c r="E11" s="59"/>
      <c r="F11" s="59"/>
      <c r="G11" s="60"/>
    </row>
    <row r="12" spans="2:8" ht="15" x14ac:dyDescent="0.2">
      <c r="B12" s="61" t="s">
        <v>293</v>
      </c>
      <c r="C12" s="62"/>
      <c r="D12" s="62"/>
      <c r="E12" s="62"/>
      <c r="F12" s="62"/>
      <c r="G12" s="63"/>
    </row>
    <row r="13" spans="2:8" thickBot="1" x14ac:dyDescent="0.25">
      <c r="B13" s="64"/>
      <c r="C13" s="65"/>
      <c r="D13" s="65"/>
      <c r="E13" s="65"/>
      <c r="F13" s="65"/>
      <c r="G13" s="66"/>
    </row>
    <row r="14" spans="2:8" ht="17" x14ac:dyDescent="0.2">
      <c r="B14" s="8"/>
      <c r="C14" s="8"/>
      <c r="D14" s="8"/>
      <c r="F14" t="s">
        <v>5</v>
      </c>
      <c r="G14" s="23" t="s">
        <v>302</v>
      </c>
    </row>
    <row r="15" spans="2:8" ht="17" x14ac:dyDescent="0.2">
      <c r="B15" s="8"/>
      <c r="C15" s="8"/>
      <c r="D15" s="8"/>
      <c r="F15" t="s">
        <v>6</v>
      </c>
      <c r="G15" s="24" t="s">
        <v>12</v>
      </c>
    </row>
    <row r="16" spans="2:8" ht="32" x14ac:dyDescent="0.2">
      <c r="B16" s="8"/>
      <c r="C16" s="8"/>
      <c r="D16" s="8"/>
      <c r="F16" s="5" t="s">
        <v>7</v>
      </c>
      <c r="G16" s="24" t="s">
        <v>15</v>
      </c>
    </row>
    <row r="17" spans="2:7" ht="17" x14ac:dyDescent="0.25">
      <c r="B17" s="8"/>
      <c r="C17" s="8"/>
      <c r="D17" s="8"/>
      <c r="F17" s="1"/>
      <c r="G17" s="19"/>
    </row>
    <row r="18" spans="2:7" x14ac:dyDescent="0.2">
      <c r="B18" s="8"/>
      <c r="C18" s="8"/>
      <c r="D18" s="8"/>
      <c r="F18" t="s">
        <v>16</v>
      </c>
    </row>
    <row r="19" spans="2:7" x14ac:dyDescent="0.2">
      <c r="B19" s="8"/>
      <c r="C19" s="8"/>
      <c r="D19" s="8"/>
      <c r="F19" s="39" t="str">
        <f ca="1">SelDevice</f>
        <v>UCC287502</v>
      </c>
      <c r="G19" s="39"/>
    </row>
    <row r="20" spans="2:7" x14ac:dyDescent="0.2">
      <c r="B20" s="8"/>
      <c r="C20" s="8"/>
      <c r="D20" s="8"/>
      <c r="F20" s="39"/>
      <c r="G20" s="39"/>
    </row>
    <row r="21" spans="2:7" x14ac:dyDescent="0.2">
      <c r="B21" s="8"/>
      <c r="C21" s="8"/>
      <c r="D21" s="8"/>
    </row>
    <row r="22" spans="2:7" x14ac:dyDescent="0.2">
      <c r="B22" s="8"/>
      <c r="C22" s="8"/>
      <c r="D22" s="8"/>
    </row>
    <row r="23" spans="2:7" ht="17" x14ac:dyDescent="0.25">
      <c r="B23" s="8"/>
      <c r="C23" s="8"/>
      <c r="D23" s="8"/>
      <c r="F23" s="1"/>
      <c r="G23" s="19"/>
    </row>
    <row r="24" spans="2:7" ht="17" x14ac:dyDescent="0.25">
      <c r="B24" s="8"/>
      <c r="C24" s="8"/>
      <c r="D24" s="8"/>
      <c r="F24" s="1"/>
      <c r="G24" s="19"/>
    </row>
    <row r="25" spans="2:7" ht="17" x14ac:dyDescent="0.25">
      <c r="B25" s="8"/>
      <c r="C25" s="8"/>
      <c r="D25" s="8"/>
      <c r="F25" s="1"/>
      <c r="G25" s="19"/>
    </row>
    <row r="26" spans="2:7" ht="17" x14ac:dyDescent="0.25">
      <c r="B26" s="8"/>
      <c r="C26" s="8"/>
      <c r="D26" s="8"/>
      <c r="F26" s="1"/>
      <c r="G26" s="19"/>
    </row>
    <row r="27" spans="2:7" ht="17" x14ac:dyDescent="0.25">
      <c r="B27" s="8"/>
      <c r="C27" s="8"/>
      <c r="D27" s="8"/>
      <c r="F27" s="1"/>
      <c r="G27" s="19"/>
    </row>
    <row r="28" spans="2:7" ht="17" x14ac:dyDescent="0.25">
      <c r="B28" s="8"/>
      <c r="C28" s="8"/>
      <c r="D28" s="8"/>
      <c r="F28" s="1"/>
      <c r="G28" s="19"/>
    </row>
    <row r="29" spans="2:7" ht="17" x14ac:dyDescent="0.25">
      <c r="B29" s="8"/>
      <c r="C29" s="8"/>
      <c r="D29" s="8"/>
      <c r="F29" s="1"/>
      <c r="G29" s="19"/>
    </row>
    <row r="30" spans="2:7" ht="17" x14ac:dyDescent="0.25">
      <c r="B30" s="8"/>
      <c r="C30" s="8"/>
      <c r="D30" s="8"/>
      <c r="F30" s="1"/>
      <c r="G30" s="19"/>
    </row>
    <row r="31" spans="2:7" ht="17" x14ac:dyDescent="0.25">
      <c r="B31" s="8"/>
      <c r="C31" s="8"/>
      <c r="D31" s="8"/>
      <c r="F31" s="1"/>
      <c r="G31" s="19"/>
    </row>
    <row r="32" spans="2:7" ht="17" x14ac:dyDescent="0.25">
      <c r="B32" s="8"/>
      <c r="C32" s="8"/>
      <c r="D32" s="8"/>
      <c r="F32" s="1"/>
      <c r="G32" s="19"/>
    </row>
    <row r="37" spans="2:7" ht="17" thickBot="1" x14ac:dyDescent="0.25"/>
    <row r="38" spans="2:7" ht="17" thickBot="1" x14ac:dyDescent="0.3">
      <c r="B38" s="32" t="s">
        <v>4</v>
      </c>
      <c r="C38" s="33"/>
      <c r="D38" s="33"/>
      <c r="E38" s="33"/>
      <c r="F38" s="33"/>
      <c r="G38" s="34"/>
    </row>
    <row r="39" spans="2:7" x14ac:dyDescent="0.2">
      <c r="B39" s="7" t="s">
        <v>28</v>
      </c>
      <c r="D39" s="25" t="s">
        <v>29</v>
      </c>
    </row>
    <row r="40" spans="2:7" ht="18" x14ac:dyDescent="0.25">
      <c r="B40" s="7" t="s">
        <v>31</v>
      </c>
      <c r="C40" s="7" t="s">
        <v>325</v>
      </c>
      <c r="D40" s="25">
        <v>90</v>
      </c>
      <c r="E40" s="7" t="str">
        <f>IF(SelVinType="AC","VAC","VDC")</f>
        <v>VAC</v>
      </c>
    </row>
    <row r="41" spans="2:7" ht="18" x14ac:dyDescent="0.25">
      <c r="B41" s="7" t="s">
        <v>63</v>
      </c>
      <c r="C41" s="7" t="s">
        <v>326</v>
      </c>
      <c r="D41" s="25">
        <v>90</v>
      </c>
      <c r="E41" s="7" t="s">
        <v>64</v>
      </c>
    </row>
    <row r="42" spans="2:7" ht="18" x14ac:dyDescent="0.25">
      <c r="B42" s="7" t="s">
        <v>32</v>
      </c>
      <c r="C42" s="7" t="s">
        <v>327</v>
      </c>
      <c r="D42" s="25">
        <v>265</v>
      </c>
      <c r="E42" s="7" t="str">
        <f>IF(SelVinType="AC","VAC","VDC")</f>
        <v>VAC</v>
      </c>
    </row>
    <row r="43" spans="2:7" ht="18" x14ac:dyDescent="0.25">
      <c r="B43" s="7" t="s">
        <v>33</v>
      </c>
      <c r="C43" s="7" t="s">
        <v>328</v>
      </c>
      <c r="D43" s="25">
        <v>115</v>
      </c>
      <c r="E43" s="7" t="str">
        <f>IF(SelVinType="AC","VAC","VDC")</f>
        <v>VAC</v>
      </c>
    </row>
    <row r="44" spans="2:7" ht="18" x14ac:dyDescent="0.25">
      <c r="B44" s="7" t="s">
        <v>34</v>
      </c>
      <c r="C44" s="7" t="s">
        <v>329</v>
      </c>
      <c r="D44" s="25">
        <v>47</v>
      </c>
      <c r="E44" s="7" t="s">
        <v>35</v>
      </c>
    </row>
    <row r="45" spans="2:7" ht="18" x14ac:dyDescent="0.25">
      <c r="B45" s="7" t="s">
        <v>50</v>
      </c>
      <c r="C45" s="7" t="s">
        <v>330</v>
      </c>
      <c r="D45" s="25">
        <v>650</v>
      </c>
      <c r="E45" s="7" t="s">
        <v>41</v>
      </c>
    </row>
    <row r="46" spans="2:7" ht="18" x14ac:dyDescent="0.25">
      <c r="B46" s="7" t="s">
        <v>81</v>
      </c>
      <c r="C46" s="7" t="s">
        <v>331</v>
      </c>
      <c r="D46" s="25">
        <v>80</v>
      </c>
      <c r="E46" s="7" t="s">
        <v>56</v>
      </c>
    </row>
    <row r="47" spans="2:7" ht="35" x14ac:dyDescent="0.25">
      <c r="B47" s="7" t="s">
        <v>55</v>
      </c>
      <c r="C47" s="7" t="s">
        <v>332</v>
      </c>
      <c r="D47" s="25">
        <v>65</v>
      </c>
      <c r="E47" s="7" t="s">
        <v>56</v>
      </c>
      <c r="G47" s="10" t="s">
        <v>255</v>
      </c>
    </row>
    <row r="48" spans="2:7" x14ac:dyDescent="0.2">
      <c r="B48" s="7" t="s">
        <v>68</v>
      </c>
      <c r="C48" s="9" t="s">
        <v>295</v>
      </c>
      <c r="D48" s="25">
        <v>85</v>
      </c>
      <c r="E48" s="7" t="s">
        <v>56</v>
      </c>
    </row>
    <row r="50" spans="2:7" ht="17" thickBot="1" x14ac:dyDescent="0.25"/>
    <row r="51" spans="2:7" ht="17" thickBot="1" x14ac:dyDescent="0.3">
      <c r="B51" s="32" t="s">
        <v>36</v>
      </c>
      <c r="C51" s="33"/>
      <c r="D51" s="33"/>
      <c r="E51" s="33"/>
      <c r="F51" s="33"/>
      <c r="G51" s="34"/>
    </row>
    <row r="52" spans="2:7" ht="19" x14ac:dyDescent="0.25">
      <c r="B52" s="10" t="s">
        <v>37</v>
      </c>
      <c r="C52" s="10" t="s">
        <v>333</v>
      </c>
      <c r="D52" s="25">
        <v>24</v>
      </c>
      <c r="E52" s="7" t="s">
        <v>41</v>
      </c>
    </row>
    <row r="53" spans="2:7" ht="19" x14ac:dyDescent="0.25">
      <c r="B53" s="10" t="s">
        <v>38</v>
      </c>
      <c r="C53" s="10" t="s">
        <v>334</v>
      </c>
      <c r="D53" s="25">
        <v>1.25</v>
      </c>
      <c r="E53" s="7" t="s">
        <v>42</v>
      </c>
    </row>
    <row r="54" spans="2:7" ht="19" x14ac:dyDescent="0.25">
      <c r="B54" s="10" t="s">
        <v>70</v>
      </c>
      <c r="C54" s="10" t="s">
        <v>335</v>
      </c>
      <c r="D54" s="14">
        <f ca="1">PrettyPo</f>
        <v>30</v>
      </c>
      <c r="E54" s="7" t="str">
        <f ca="1">PrettyUnitPo</f>
        <v>W</v>
      </c>
    </row>
    <row r="55" spans="2:7" ht="19" x14ac:dyDescent="0.25">
      <c r="B55" s="10" t="s">
        <v>382</v>
      </c>
      <c r="C55" s="10" t="s">
        <v>383</v>
      </c>
      <c r="D55" s="14">
        <f ca="1">PrettyPin</f>
        <v>35.29</v>
      </c>
      <c r="E55" s="7" t="s">
        <v>384</v>
      </c>
    </row>
    <row r="56" spans="2:7" ht="19" x14ac:dyDescent="0.25">
      <c r="B56" s="10" t="s">
        <v>40</v>
      </c>
      <c r="C56" s="10" t="s">
        <v>336</v>
      </c>
      <c r="D56" s="25">
        <v>1</v>
      </c>
      <c r="E56" s="7" t="s">
        <v>56</v>
      </c>
    </row>
    <row r="57" spans="2:7" ht="19" x14ac:dyDescent="0.25">
      <c r="B57" s="10" t="s">
        <v>39</v>
      </c>
      <c r="C57" s="10" t="s">
        <v>337</v>
      </c>
      <c r="D57" s="25">
        <v>1</v>
      </c>
      <c r="E57" s="7" t="s">
        <v>56</v>
      </c>
    </row>
    <row r="58" spans="2:7" ht="19" x14ac:dyDescent="0.25">
      <c r="B58" s="10" t="s">
        <v>61</v>
      </c>
      <c r="C58" s="10" t="s">
        <v>374</v>
      </c>
      <c r="D58" s="25">
        <v>1</v>
      </c>
      <c r="E58" s="7" t="s">
        <v>41</v>
      </c>
    </row>
    <row r="60" spans="2:7" ht="17" thickBot="1" x14ac:dyDescent="0.25"/>
    <row r="61" spans="2:7" ht="17" thickBot="1" x14ac:dyDescent="0.3">
      <c r="B61" s="32" t="s">
        <v>47</v>
      </c>
      <c r="C61" s="33"/>
      <c r="D61" s="33"/>
      <c r="E61" s="33"/>
      <c r="F61" s="33"/>
      <c r="G61" s="34"/>
    </row>
    <row r="62" spans="2:7" ht="18" x14ac:dyDescent="0.25">
      <c r="B62" s="7" t="s">
        <v>298</v>
      </c>
      <c r="C62" s="7" t="s">
        <v>338</v>
      </c>
      <c r="D62" s="14">
        <f ca="1">PrettyInputBulkCap</f>
        <v>69.53</v>
      </c>
      <c r="E62" s="7" t="str">
        <f ca="1">PrettyUnitInputBulkCap</f>
        <v>μF</v>
      </c>
      <c r="F62" s="4"/>
      <c r="G62" s="18" t="s">
        <v>299</v>
      </c>
    </row>
    <row r="63" spans="2:7" ht="17" thickBot="1" x14ac:dyDescent="0.25"/>
    <row r="64" spans="2:7" ht="17" thickBot="1" x14ac:dyDescent="0.3">
      <c r="B64" s="32" t="s">
        <v>49</v>
      </c>
      <c r="C64" s="33"/>
      <c r="D64" s="33"/>
      <c r="E64" s="33"/>
      <c r="F64" s="33"/>
      <c r="G64" s="34"/>
    </row>
    <row r="65" spans="2:7" ht="19" x14ac:dyDescent="0.25">
      <c r="B65" s="10" t="s">
        <v>86</v>
      </c>
      <c r="C65" s="10" t="s">
        <v>339</v>
      </c>
      <c r="D65" s="25">
        <v>65</v>
      </c>
      <c r="E65" s="7" t="s">
        <v>56</v>
      </c>
      <c r="G65" s="10" t="s">
        <v>375</v>
      </c>
    </row>
    <row r="66" spans="2:7" ht="19" x14ac:dyDescent="0.25">
      <c r="B66" s="10" t="s">
        <v>322</v>
      </c>
      <c r="C66" s="10" t="s">
        <v>340</v>
      </c>
      <c r="D66" s="15" t="str">
        <f>MsgNPS</f>
        <v>1 : 0.15</v>
      </c>
      <c r="E66" s="7" t="s">
        <v>94</v>
      </c>
    </row>
    <row r="67" spans="2:7" ht="19" x14ac:dyDescent="0.25">
      <c r="B67" s="10" t="s">
        <v>322</v>
      </c>
      <c r="C67" s="10" t="s">
        <v>341</v>
      </c>
      <c r="D67" s="15">
        <f>MsgNs</f>
        <v>6.69</v>
      </c>
    </row>
    <row r="68" spans="2:7" ht="19" x14ac:dyDescent="0.25">
      <c r="B68" s="10" t="s">
        <v>57</v>
      </c>
      <c r="C68" s="10" t="s">
        <v>332</v>
      </c>
      <c r="D68" s="14">
        <f>CalcDutyMax</f>
        <v>65</v>
      </c>
      <c r="E68" s="7" t="s">
        <v>56</v>
      </c>
    </row>
    <row r="69" spans="2:7" ht="19" x14ac:dyDescent="0.25">
      <c r="B69" s="10" t="s">
        <v>297</v>
      </c>
      <c r="C69" s="10" t="s">
        <v>342</v>
      </c>
      <c r="D69" s="14">
        <f ca="1">PrettyLm</f>
        <v>1147.5</v>
      </c>
      <c r="E69" s="7" t="str">
        <f ca="1">PrettyUnitLm</f>
        <v>μH</v>
      </c>
    </row>
    <row r="70" spans="2:7" ht="19" x14ac:dyDescent="0.25">
      <c r="B70" s="10" t="s">
        <v>52</v>
      </c>
      <c r="C70" s="10" t="s">
        <v>341</v>
      </c>
      <c r="D70" s="25">
        <v>6</v>
      </c>
      <c r="E70" s="7" t="s">
        <v>96</v>
      </c>
    </row>
    <row r="71" spans="2:7" ht="19" x14ac:dyDescent="0.25">
      <c r="B71" s="10" t="s">
        <v>91</v>
      </c>
      <c r="C71" s="10" t="s">
        <v>343</v>
      </c>
      <c r="D71" s="25">
        <v>1</v>
      </c>
      <c r="E71" s="7" t="s">
        <v>96</v>
      </c>
    </row>
    <row r="72" spans="2:7" ht="19" x14ac:dyDescent="0.25">
      <c r="B72" s="10" t="s">
        <v>93</v>
      </c>
      <c r="C72" s="10" t="s">
        <v>344</v>
      </c>
      <c r="D72" s="15" t="str">
        <f>MsgNSA</f>
        <v>0.17 : 0.17</v>
      </c>
      <c r="E72" s="7" t="s">
        <v>95</v>
      </c>
    </row>
    <row r="73" spans="2:7" ht="35" x14ac:dyDescent="0.25">
      <c r="B73" s="10" t="s">
        <v>185</v>
      </c>
      <c r="C73" s="10" t="s">
        <v>345</v>
      </c>
      <c r="D73" s="14">
        <f>CalcSSVdd</f>
        <v>25</v>
      </c>
      <c r="E73" s="7" t="s">
        <v>41</v>
      </c>
      <c r="G73" s="10" t="str">
        <f>MsgNSAVdd</f>
        <v/>
      </c>
    </row>
    <row r="74" spans="2:7" ht="19" x14ac:dyDescent="0.25">
      <c r="B74" s="10" t="s">
        <v>179</v>
      </c>
      <c r="C74" s="10" t="s">
        <v>332</v>
      </c>
      <c r="D74" s="14">
        <f>CalcUsrDutyMax</f>
        <v>62.5</v>
      </c>
      <c r="E74" s="7" t="s">
        <v>56</v>
      </c>
    </row>
    <row r="75" spans="2:7" ht="19" x14ac:dyDescent="0.25">
      <c r="B75" s="10" t="s">
        <v>180</v>
      </c>
      <c r="C75" s="10" t="s">
        <v>342</v>
      </c>
      <c r="D75" s="14">
        <f ca="1">PrettyUsrLm</f>
        <v>1060.93</v>
      </c>
      <c r="E75" s="7" t="str">
        <f ca="1">PrettyUnitUsrLm</f>
        <v>μH</v>
      </c>
    </row>
    <row r="76" spans="2:7" ht="19" x14ac:dyDescent="0.25">
      <c r="B76" s="10" t="s">
        <v>277</v>
      </c>
      <c r="C76" s="10" t="s">
        <v>346</v>
      </c>
      <c r="D76" s="14">
        <f>PrettyMosLeakLeft</f>
        <v>132</v>
      </c>
      <c r="E76" s="7" t="s">
        <v>41</v>
      </c>
      <c r="G76" s="10" t="str">
        <f>MsgLkgLeft</f>
        <v/>
      </c>
    </row>
    <row r="77" spans="2:7" ht="19" x14ac:dyDescent="0.25">
      <c r="B77" s="10" t="s">
        <v>378</v>
      </c>
      <c r="C77" s="10" t="s">
        <v>379</v>
      </c>
      <c r="D77" s="14">
        <f ca="1">PrettyIPk</f>
        <v>943.24</v>
      </c>
      <c r="E77" s="7" t="str">
        <f ca="1">PrettyUnitIPk</f>
        <v>mA</v>
      </c>
    </row>
    <row r="78" spans="2:7" ht="20" thickBot="1" x14ac:dyDescent="0.3">
      <c r="B78" s="10" t="s">
        <v>386</v>
      </c>
      <c r="C78" s="10" t="s">
        <v>387</v>
      </c>
      <c r="D78" s="14">
        <f ca="1">PrettyIMean</f>
        <v>512.57000000000005</v>
      </c>
      <c r="E78" s="7" t="str">
        <f ca="1">PrettyUnitIRms</f>
        <v>mA</v>
      </c>
    </row>
    <row r="79" spans="2:7" ht="17" thickBot="1" x14ac:dyDescent="0.3">
      <c r="B79" s="32" t="s">
        <v>54</v>
      </c>
      <c r="C79" s="33"/>
      <c r="D79" s="33"/>
      <c r="E79" s="33"/>
      <c r="F79" s="33"/>
      <c r="G79" s="34"/>
    </row>
    <row r="80" spans="2:7" ht="19" x14ac:dyDescent="0.25">
      <c r="B80" s="7" t="s">
        <v>58</v>
      </c>
      <c r="C80" s="10" t="s">
        <v>347</v>
      </c>
      <c r="D80" s="14">
        <f ca="1">PrettyRCs</f>
        <v>839.66</v>
      </c>
      <c r="E80" s="7" t="str">
        <f ca="1">PrettyUnitRCs</f>
        <v>mΩ</v>
      </c>
    </row>
    <row r="81" spans="2:7" ht="69" x14ac:dyDescent="0.25">
      <c r="B81" s="10" t="s">
        <v>59</v>
      </c>
      <c r="C81" s="10" t="s">
        <v>348</v>
      </c>
      <c r="D81" s="14">
        <f ca="1">PrettyRSlope</f>
        <v>1.07</v>
      </c>
      <c r="E81" s="7" t="str">
        <f ca="1">PrettyUnitRSlope</f>
        <v>kΩ</v>
      </c>
      <c r="G81" s="10" t="s">
        <v>376</v>
      </c>
    </row>
    <row r="82" spans="2:7" ht="35" x14ac:dyDescent="0.25">
      <c r="B82" s="10" t="s">
        <v>118</v>
      </c>
      <c r="C82" s="10" t="s">
        <v>349</v>
      </c>
      <c r="D82" s="14">
        <f ca="1">PrettyVCs</f>
        <v>792</v>
      </c>
      <c r="E82" s="7" t="str">
        <f ca="1">PrettyUnitVCs</f>
        <v>mV</v>
      </c>
    </row>
    <row r="84" spans="2:7" ht="19" x14ac:dyDescent="0.25">
      <c r="B84" s="10" t="s">
        <v>115</v>
      </c>
      <c r="C84" s="10" t="s">
        <v>347</v>
      </c>
      <c r="D84" s="25">
        <v>750</v>
      </c>
      <c r="E84" s="25" t="s">
        <v>286</v>
      </c>
    </row>
    <row r="85" spans="2:7" ht="19" x14ac:dyDescent="0.25">
      <c r="B85" s="10" t="s">
        <v>116</v>
      </c>
      <c r="C85" s="10" t="s">
        <v>348</v>
      </c>
      <c r="D85" s="25">
        <v>2000</v>
      </c>
      <c r="E85" s="25" t="s">
        <v>280</v>
      </c>
      <c r="G85" s="10" t="str">
        <f ca="1">MesRSlope</f>
        <v/>
      </c>
    </row>
    <row r="86" spans="2:7" ht="35" x14ac:dyDescent="0.25">
      <c r="B86" s="10" t="s">
        <v>117</v>
      </c>
      <c r="C86" s="10" t="s">
        <v>349</v>
      </c>
      <c r="D86" s="14">
        <f ca="1">PrettyUsrVCs</f>
        <v>812</v>
      </c>
      <c r="E86" s="7" t="str">
        <f ca="1">PrettyUnitUsrVCs</f>
        <v>mV</v>
      </c>
      <c r="G86" s="10" t="str">
        <f ca="1">MsgUsrRCs</f>
        <v/>
      </c>
    </row>
    <row r="87" spans="2:7" ht="17" thickBot="1" x14ac:dyDescent="0.25"/>
    <row r="88" spans="2:7" ht="17" thickBot="1" x14ac:dyDescent="0.3">
      <c r="B88" s="32" t="s">
        <v>73</v>
      </c>
      <c r="C88" s="33"/>
      <c r="D88" s="33"/>
      <c r="E88" s="33"/>
      <c r="F88" s="33"/>
      <c r="G88" s="34"/>
    </row>
    <row r="89" spans="2:7" ht="19" x14ac:dyDescent="0.25">
      <c r="B89" s="7" t="s">
        <v>300</v>
      </c>
      <c r="C89" s="10" t="s">
        <v>389</v>
      </c>
      <c r="D89" s="14">
        <f>ResVoDiodeBlock</f>
        <v>86</v>
      </c>
      <c r="E89" s="7" t="s">
        <v>41</v>
      </c>
      <c r="G89" s="18" t="s">
        <v>377</v>
      </c>
    </row>
    <row r="90" spans="2:7" ht="17" thickBot="1" x14ac:dyDescent="0.25"/>
    <row r="91" spans="2:7" ht="17" thickBot="1" x14ac:dyDescent="0.3">
      <c r="B91" s="32" t="s">
        <v>126</v>
      </c>
      <c r="C91" s="33"/>
      <c r="D91" s="33"/>
      <c r="E91" s="33"/>
      <c r="F91" s="33"/>
      <c r="G91" s="34"/>
    </row>
    <row r="92" spans="2:7" ht="19" x14ac:dyDescent="0.25">
      <c r="B92" s="10" t="s">
        <v>139</v>
      </c>
      <c r="C92" s="10" t="s">
        <v>350</v>
      </c>
      <c r="D92" s="14">
        <f ca="1">ResCout</f>
        <v>448</v>
      </c>
      <c r="E92" s="7" t="s">
        <v>289</v>
      </c>
    </row>
    <row r="93" spans="2:7" ht="17" thickBot="1" x14ac:dyDescent="0.25"/>
    <row r="94" spans="2:7" ht="17" thickBot="1" x14ac:dyDescent="0.3">
      <c r="B94" s="32" t="s">
        <v>136</v>
      </c>
      <c r="C94" s="33"/>
      <c r="D94" s="33"/>
      <c r="E94" s="33"/>
      <c r="F94" s="33"/>
      <c r="G94" s="34"/>
    </row>
    <row r="95" spans="2:7" ht="18" x14ac:dyDescent="0.25">
      <c r="B95" s="7" t="s">
        <v>145</v>
      </c>
      <c r="C95" s="7" t="s">
        <v>351</v>
      </c>
      <c r="D95" s="26">
        <v>1</v>
      </c>
      <c r="E95" s="7" t="s">
        <v>137</v>
      </c>
      <c r="G95" s="10" t="s">
        <v>138</v>
      </c>
    </row>
    <row r="96" spans="2:7" ht="18" x14ac:dyDescent="0.25">
      <c r="B96" s="7" t="s">
        <v>307</v>
      </c>
      <c r="C96" s="7" t="s">
        <v>352</v>
      </c>
      <c r="D96" s="26" t="b">
        <v>0</v>
      </c>
    </row>
    <row r="97" spans="2:7" ht="18" x14ac:dyDescent="0.25">
      <c r="B97" s="7" t="s">
        <v>152</v>
      </c>
      <c r="C97" s="7" t="s">
        <v>353</v>
      </c>
      <c r="D97" s="14">
        <f>ResCVDD1</f>
        <v>6.01</v>
      </c>
      <c r="E97" s="7" t="s">
        <v>289</v>
      </c>
    </row>
    <row r="98" spans="2:7" ht="18" x14ac:dyDescent="0.25">
      <c r="B98" s="7" t="s">
        <v>154</v>
      </c>
      <c r="C98" s="7" t="s">
        <v>354</v>
      </c>
      <c r="D98" s="16" t="str">
        <f ca="1">MsgCVDD2</f>
        <v>7.27 to 67.92</v>
      </c>
      <c r="E98" s="7" t="s">
        <v>289</v>
      </c>
      <c r="G98" s="10" t="s">
        <v>155</v>
      </c>
    </row>
    <row r="99" spans="2:7" ht="18" x14ac:dyDescent="0.25">
      <c r="B99" s="7" t="s">
        <v>153</v>
      </c>
      <c r="C99" s="7" t="s">
        <v>355</v>
      </c>
      <c r="D99" s="14">
        <f ca="1">PrettyRStart</f>
        <v>1.25</v>
      </c>
      <c r="E99" s="7" t="str">
        <f ca="1">PrettyUnitRStart</f>
        <v>MΩ</v>
      </c>
    </row>
    <row r="101" spans="2:7" ht="17" thickBot="1" x14ac:dyDescent="0.25"/>
    <row r="102" spans="2:7" ht="17" thickBot="1" x14ac:dyDescent="0.3">
      <c r="B102" s="32" t="s">
        <v>156</v>
      </c>
      <c r="C102" s="33"/>
      <c r="D102" s="33"/>
      <c r="E102" s="33"/>
      <c r="F102" s="33"/>
      <c r="G102" s="34"/>
    </row>
    <row r="103" spans="2:7" ht="17" thickBot="1" x14ac:dyDescent="0.25">
      <c r="B103" s="12" t="s">
        <v>157</v>
      </c>
      <c r="C103" s="11"/>
      <c r="D103" s="35" t="s">
        <v>249</v>
      </c>
      <c r="E103" s="36"/>
      <c r="F103" s="36"/>
      <c r="G103" s="37"/>
    </row>
    <row r="104" spans="2:7" ht="19" x14ac:dyDescent="0.25">
      <c r="B104" s="10" t="s">
        <v>158</v>
      </c>
      <c r="C104" s="10" t="s">
        <v>356</v>
      </c>
      <c r="D104" s="27">
        <v>3.5</v>
      </c>
      <c r="E104" s="25" t="s">
        <v>282</v>
      </c>
    </row>
    <row r="105" spans="2:7" ht="19" x14ac:dyDescent="0.25">
      <c r="B105" s="10" t="s">
        <v>159</v>
      </c>
      <c r="C105" s="10" t="s">
        <v>357</v>
      </c>
      <c r="D105" s="26">
        <v>50</v>
      </c>
      <c r="E105" s="25" t="s">
        <v>281</v>
      </c>
    </row>
    <row r="106" spans="2:7" ht="19" x14ac:dyDescent="0.25">
      <c r="B106" s="10" t="s">
        <v>160</v>
      </c>
      <c r="C106" s="10" t="s">
        <v>358</v>
      </c>
      <c r="D106" s="14">
        <f>CalcBo</f>
        <v>85.4</v>
      </c>
      <c r="E106" s="7" t="s">
        <v>64</v>
      </c>
    </row>
    <row r="107" spans="2:7" ht="19" x14ac:dyDescent="0.25">
      <c r="B107" s="10" t="s">
        <v>161</v>
      </c>
      <c r="C107" s="10" t="s">
        <v>359</v>
      </c>
      <c r="D107" s="14">
        <f>CalcBi</f>
        <v>102.95</v>
      </c>
      <c r="E107" s="7" t="s">
        <v>64</v>
      </c>
    </row>
    <row r="108" spans="2:7" x14ac:dyDescent="0.2">
      <c r="B108" s="10"/>
      <c r="C108" s="10"/>
    </row>
    <row r="109" spans="2:7" ht="19" x14ac:dyDescent="0.25">
      <c r="B109" s="10" t="s">
        <v>167</v>
      </c>
      <c r="C109" s="10" t="s">
        <v>358</v>
      </c>
      <c r="D109" s="25">
        <v>85</v>
      </c>
      <c r="E109" s="7" t="s">
        <v>64</v>
      </c>
    </row>
    <row r="110" spans="2:7" ht="35" x14ac:dyDescent="0.25">
      <c r="B110" s="10" t="s">
        <v>166</v>
      </c>
      <c r="C110" s="10" t="s">
        <v>356</v>
      </c>
      <c r="D110" s="14">
        <f ca="1">PrettyBoRTop</f>
        <v>3.48</v>
      </c>
      <c r="E110" s="7" t="str">
        <f ca="1">PrettyUnitBoRTop</f>
        <v>MΩ</v>
      </c>
    </row>
    <row r="111" spans="2:7" ht="19" x14ac:dyDescent="0.25">
      <c r="B111" s="10" t="s">
        <v>165</v>
      </c>
      <c r="C111" s="10" t="s">
        <v>359</v>
      </c>
      <c r="D111" s="14">
        <f>CalcBiFromUsrBo</f>
        <v>102.47</v>
      </c>
      <c r="E111" s="7" t="s">
        <v>64</v>
      </c>
    </row>
    <row r="112" spans="2:7" ht="17" thickBot="1" x14ac:dyDescent="0.25"/>
    <row r="113" spans="2:7" ht="17" thickBot="1" x14ac:dyDescent="0.25">
      <c r="B113" s="12" t="s">
        <v>177</v>
      </c>
      <c r="C113" s="11"/>
      <c r="D113" s="35" t="s">
        <v>250</v>
      </c>
      <c r="E113" s="36"/>
      <c r="F113" s="36"/>
      <c r="G113" s="37"/>
    </row>
    <row r="114" spans="2:7" ht="19" x14ac:dyDescent="0.25">
      <c r="B114" s="7" t="s">
        <v>171</v>
      </c>
      <c r="C114" s="10" t="s">
        <v>360</v>
      </c>
      <c r="D114" s="25">
        <v>120</v>
      </c>
      <c r="E114" s="25" t="s">
        <v>281</v>
      </c>
    </row>
    <row r="115" spans="2:7" ht="19" x14ac:dyDescent="0.25">
      <c r="B115" s="7" t="s">
        <v>170</v>
      </c>
      <c r="C115" s="10" t="s">
        <v>361</v>
      </c>
      <c r="D115" s="25">
        <v>25</v>
      </c>
      <c r="E115" s="7" t="s">
        <v>172</v>
      </c>
    </row>
    <row r="116" spans="2:7" ht="17" x14ac:dyDescent="0.2">
      <c r="B116" s="7" t="s">
        <v>173</v>
      </c>
      <c r="C116" s="10" t="s">
        <v>311</v>
      </c>
      <c r="D116" s="25">
        <v>4100</v>
      </c>
      <c r="E116" s="7" t="s">
        <v>176</v>
      </c>
    </row>
    <row r="118" spans="2:7" ht="19" x14ac:dyDescent="0.25">
      <c r="B118" s="7" t="s">
        <v>178</v>
      </c>
      <c r="C118" s="10" t="s">
        <v>362</v>
      </c>
      <c r="D118" s="14">
        <f>CalcTsdTemp</f>
        <v>90.76</v>
      </c>
      <c r="E118" s="7" t="s">
        <v>370</v>
      </c>
    </row>
    <row r="119" spans="2:7" ht="19" x14ac:dyDescent="0.25">
      <c r="B119" s="7" t="s">
        <v>313</v>
      </c>
      <c r="C119" s="10" t="s">
        <v>363</v>
      </c>
      <c r="D119" s="14">
        <f>CalcTsdRecoveryTemp</f>
        <v>84.96</v>
      </c>
      <c r="E119" s="7" t="s">
        <v>370</v>
      </c>
    </row>
    <row r="121" spans="2:7" ht="17" thickBot="1" x14ac:dyDescent="0.25"/>
    <row r="122" spans="2:7" ht="17" thickBot="1" x14ac:dyDescent="0.3">
      <c r="B122" s="32" t="s">
        <v>252</v>
      </c>
      <c r="C122" s="33"/>
      <c r="D122" s="33"/>
      <c r="E122" s="33"/>
      <c r="F122" s="33"/>
      <c r="G122" s="34"/>
    </row>
    <row r="123" spans="2:7" ht="18" x14ac:dyDescent="0.25">
      <c r="B123" s="7" t="s">
        <v>254</v>
      </c>
      <c r="C123" s="7" t="s">
        <v>364</v>
      </c>
      <c r="D123" s="25">
        <v>90</v>
      </c>
      <c r="E123" s="7" t="s">
        <v>253</v>
      </c>
    </row>
    <row r="124" spans="2:7" ht="18" x14ac:dyDescent="0.25">
      <c r="B124" s="7" t="s">
        <v>245</v>
      </c>
      <c r="C124" s="7" t="s">
        <v>365</v>
      </c>
      <c r="D124" s="25">
        <v>0.03</v>
      </c>
      <c r="E124" s="7" t="s">
        <v>112</v>
      </c>
    </row>
    <row r="125" spans="2:7" ht="18" x14ac:dyDescent="0.25">
      <c r="B125" s="7" t="s">
        <v>314</v>
      </c>
      <c r="C125" s="7" t="s">
        <v>366</v>
      </c>
      <c r="D125" s="25">
        <v>1.5</v>
      </c>
      <c r="E125" s="7" t="s">
        <v>41</v>
      </c>
    </row>
    <row r="126" spans="2:7" x14ac:dyDescent="0.2">
      <c r="B126" s="7" t="s">
        <v>222</v>
      </c>
      <c r="C126" s="7" t="s">
        <v>296</v>
      </c>
      <c r="D126" s="25">
        <v>0.1</v>
      </c>
    </row>
    <row r="127" spans="2:7" ht="18" x14ac:dyDescent="0.25">
      <c r="B127" s="7" t="s">
        <v>324</v>
      </c>
      <c r="C127" s="7" t="s">
        <v>367</v>
      </c>
      <c r="D127" s="26">
        <v>1</v>
      </c>
      <c r="E127" s="25" t="s">
        <v>290</v>
      </c>
      <c r="G127" s="10" t="s">
        <v>305</v>
      </c>
    </row>
    <row r="128" spans="2:7" ht="18" x14ac:dyDescent="0.25">
      <c r="B128" s="7" t="s">
        <v>248</v>
      </c>
      <c r="C128" s="7" t="s">
        <v>368</v>
      </c>
      <c r="D128" s="26">
        <v>1</v>
      </c>
      <c r="E128" s="25" t="s">
        <v>290</v>
      </c>
    </row>
    <row r="129" spans="2:5" ht="18" x14ac:dyDescent="0.25">
      <c r="B129" s="7" t="s">
        <v>246</v>
      </c>
      <c r="C129" s="7" t="s">
        <v>371</v>
      </c>
      <c r="D129" s="17">
        <f ca="1">PrettyBodeRa</f>
        <v>172</v>
      </c>
      <c r="E129" s="7" t="str">
        <f ca="1">PrettyUnitBodeRa</f>
        <v>kΩ</v>
      </c>
    </row>
    <row r="130" spans="2:5" ht="18" x14ac:dyDescent="0.25">
      <c r="B130" s="7" t="s">
        <v>247</v>
      </c>
      <c r="C130" s="7" t="s">
        <v>372</v>
      </c>
      <c r="D130" s="14">
        <f ca="1">PrettyBodeRb</f>
        <v>20</v>
      </c>
      <c r="E130" s="7" t="str">
        <f ca="1">PrettyUnitBodeRb</f>
        <v>kΩ</v>
      </c>
    </row>
    <row r="131" spans="2:5" ht="18" x14ac:dyDescent="0.25">
      <c r="B131" s="7" t="s">
        <v>292</v>
      </c>
      <c r="C131" s="7" t="s">
        <v>369</v>
      </c>
      <c r="D131" s="14">
        <f ca="1">PrettyROpto</f>
        <v>13.33</v>
      </c>
      <c r="E131" s="7" t="str">
        <f ca="1">PrettyUnitROpto</f>
        <v>kΩ</v>
      </c>
    </row>
  </sheetData>
  <sheetProtection algorithmName="SHA-512" hashValue="PPkKAYbUGaPZzMdVlF6Avc/GVfaXDgi0zViYVKdPGaUUFm8lHY1+u1R4OXpCovHB+mmA5EzL0Fb2zzUNeQHCCw==" saltValue="wlRCsya6Bi1u+xBvMCaANA==" spinCount="100000" sheet="1" objects="1" scenarios="1" selectLockedCells="1"/>
  <mergeCells count="21">
    <mergeCell ref="B122:G122"/>
    <mergeCell ref="B1:G1"/>
    <mergeCell ref="B64:G64"/>
    <mergeCell ref="B79:G79"/>
    <mergeCell ref="B38:G38"/>
    <mergeCell ref="B51:G51"/>
    <mergeCell ref="B61:G61"/>
    <mergeCell ref="F19:G20"/>
    <mergeCell ref="B3:G3"/>
    <mergeCell ref="B4:G7"/>
    <mergeCell ref="B8:G8"/>
    <mergeCell ref="B9:G9"/>
    <mergeCell ref="B10:G10"/>
    <mergeCell ref="B11:G11"/>
    <mergeCell ref="B12:G13"/>
    <mergeCell ref="B88:G88"/>
    <mergeCell ref="B102:G102"/>
    <mergeCell ref="D113:G113"/>
    <mergeCell ref="D103:G103"/>
    <mergeCell ref="B91:G91"/>
    <mergeCell ref="B94:G94"/>
  </mergeCells>
  <dataValidations xWindow="677" yWindow="783" count="23">
    <dataValidation type="list" allowBlank="1" showInputMessage="1" showErrorMessage="1" errorTitle="Invalid Input" error="Please select only from available values." promptTitle="Device Switching Frequency" prompt="Select the device's switching frequency when in full load, steady state operation." sqref="G14" xr:uid="{0922026C-77B8-487F-B2BF-E2D38A3A2F3A}">
      <formula1>SwFreq</formula1>
    </dataValidation>
    <dataValidation type="list" showInputMessage="1" showErrorMessage="1" errorTitle="Invalid Input" error="Please select only from available values." promptTitle="Device FLT Operation" prompt="Choose between the Brownout option or the Overvoltage/Thermal Shutdown FLT pin operation." sqref="G15" xr:uid="{48D95F26-F3B1-4355-A046-9A1061A4C2F3}">
      <formula1>FltOption</formula1>
    </dataValidation>
    <dataValidation type="list" allowBlank="1" showInputMessage="1" showErrorMessage="1" errorTitle="Invalid Input" error="Please select only from available values." promptTitle="Device Fault Response" prompt="Select the device's response to a fault, either latched response or auto restart." sqref="G16" xr:uid="{88310C6F-6D74-4833-A1D3-287AA3CD12AD}">
      <formula1>FaultResponse</formula1>
    </dataValidation>
    <dataValidation type="list" allowBlank="1" showInputMessage="1" showErrorMessage="1" sqref="D39" xr:uid="{4EAA8DAA-2FFD-4359-9B83-3EBE4D2537FE}">
      <formula1>VinType</formula1>
    </dataValidation>
    <dataValidation type="decimal" operator="lessThan" allowBlank="1" showInputMessage="1" showErrorMessage="1" errorTitle="Invalid Min Bulk Voltage" error="The Minimum Bulk Voltage MUST be below the Rectified Minmum Input Voltage if the input is AC, or below the DC Minmum Input Voltage if the input is DC." sqref="D41" xr:uid="{7FAA0BA2-7CC1-4464-8D72-D2DAD704C9AA}">
      <formula1>IF(SelVinType="AC", UsrVinMin*SQRT(2),UsrVinMin)</formula1>
    </dataValidation>
    <dataValidation type="whole" allowBlank="1" showInputMessage="1" showErrorMessage="1" errorTitle="Out of Range" error="Please enter within the limits of 1-100%." promptTitle="Percentage to Enter CCM" prompt="Enter a percentage of the power that the flyback would enter CCM at the minimum input voltage." sqref="D65" xr:uid="{4DA1BCB7-5005-4AC9-95BC-042FFEA10BB6}">
      <formula1>1</formula1>
      <formula2>100</formula2>
    </dataValidation>
    <dataValidation type="decimal" allowBlank="1" showInputMessage="1" showErrorMessage="1" errorTitle="Outside of Input Min/Max" error="The entered value is outside the input Vin minimum and maximum." sqref="D123" xr:uid="{23035762-FACF-4810-B986-2A5859953EAE}">
      <formula1>D40</formula1>
      <formula2>D42</formula2>
    </dataValidation>
    <dataValidation type="whole" allowBlank="1" showInputMessage="1" showErrorMessage="1" errorTitle="Exceeds Input Range" error="Duty cycle cannot be negative, and must be lower than 80%, which is the maximum duty cycle of the UCC28750X device." sqref="D47" xr:uid="{CE50AA13-8DC3-4BE6-85BB-CE3B224B1004}">
      <formula1>0</formula1>
      <formula2>DutyMax</formula2>
    </dataValidation>
    <dataValidation type="decimal" allowBlank="1" showInputMessage="1" showErrorMessage="1" sqref="D48" xr:uid="{08DCE497-6EE3-4D79-855D-441EA9F6663E}">
      <formula1>1</formula1>
      <formula2>100</formula2>
    </dataValidation>
    <dataValidation type="whole" allowBlank="1" showInputMessage="1" showErrorMessage="1" sqref="D46" xr:uid="{CA4F6DE5-0AE5-4CBD-8331-CB046EBE2E52}">
      <formula1>0</formula1>
      <formula2>100</formula2>
    </dataValidation>
    <dataValidation type="list" allowBlank="1" showInputMessage="1" showErrorMessage="1" sqref="E104:E105" xr:uid="{3325843E-4373-4A63-A227-337D86FB8557}">
      <formula1>OptBoRTop</formula1>
    </dataValidation>
    <dataValidation type="list" allowBlank="1" showInputMessage="1" showErrorMessage="1" sqref="E84" xr:uid="{CA89DDCD-7391-49E3-9A0B-D2DF5C25DF4A}">
      <formula1>OptRCs</formula1>
    </dataValidation>
    <dataValidation type="list" allowBlank="1" showInputMessage="1" showErrorMessage="1" sqref="E85" xr:uid="{B6FCB80D-4256-474D-8861-1907A2BEFB57}">
      <formula1>OptRSlope</formula1>
    </dataValidation>
    <dataValidation type="list" allowBlank="1" showInputMessage="1" showErrorMessage="1" sqref="E114" xr:uid="{C6230011-87F5-4C5E-8E7B-F9D46116B7BC}">
      <formula1>OptNtc</formula1>
    </dataValidation>
    <dataValidation type="list" allowBlank="1" showInputMessage="1" showErrorMessage="1" sqref="E127:E128" xr:uid="{3752CF27-45B4-44D4-8094-824B86726631}">
      <formula1>OptBodeCap</formula1>
    </dataValidation>
    <dataValidation type="decimal" operator="greaterThan" allowBlank="1" showInputMessage="1" showErrorMessage="1" errorTitle="Must Include C_INT" error="The C_INT capacitor is required in compensating the flyback with a Type 2 Compensator." sqref="D128" xr:uid="{BB527CB5-A88B-4B6C-9061-23B1D819554D}">
      <formula1>0</formula1>
    </dataValidation>
    <dataValidation type="decimal" operator="greaterThan" allowBlank="1" showInputMessage="1" showErrorMessage="1" error="The total capacitance seen on the FB pin from the Optocoupler and any other added capacitance is required to calculate the compensation curves." sqref="D127" xr:uid="{8F7F7D3D-D6C4-4ED1-8669-7D1000C2146E}">
      <formula1>0</formula1>
    </dataValidation>
    <dataValidation type="list" allowBlank="1" showInputMessage="1" showErrorMessage="1" sqref="D96" xr:uid="{55D9B88F-0A33-42BB-806D-5C54DE865D96}">
      <formula1>"TRUE,FALSE"</formula1>
    </dataValidation>
    <dataValidation operator="greaterThan" allowBlank="1" showInputMessage="1" showErrorMessage="1" sqref="D106" xr:uid="{90537694-61AF-43A3-976D-170EBBB12B33}"/>
    <dataValidation operator="equal" allowBlank="1" showInputMessage="1" showErrorMessage="1" sqref="D72" xr:uid="{5D054530-C10D-487B-87D5-3F143D0978A3}"/>
    <dataValidation type="decimal" operator="notEqual" allowBlank="1" showInputMessage="1" showErrorMessage="1" sqref="D70 D71" xr:uid="{64DD3D18-DC1C-4935-AE8B-5498C7E9A5B9}">
      <formula1>0</formula1>
    </dataValidation>
    <dataValidation type="decimal" operator="greaterThan" allowBlank="1" showInputMessage="1" showErrorMessage="1" sqref="D56 D57" xr:uid="{25C5B709-D62D-4038-95C6-FBE678A3915A}">
      <formula1>0</formula1>
    </dataValidation>
    <dataValidation type="decimal" operator="greaterThanOrEqual" allowBlank="1" showInputMessage="1" showErrorMessage="1" sqref="D58" xr:uid="{20C864E6-E034-4E5E-B72D-E40403DD7478}">
      <formula1>0</formula1>
    </dataValidation>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Visio.Drawing.15" shapeId="1049" r:id="rId4">
          <objectPr defaultSize="0" autoPict="0" r:id="rId5">
            <anchor moveWithCells="1">
              <from>
                <xdr:col>1</xdr:col>
                <xdr:colOff>25400</xdr:colOff>
                <xdr:row>134</xdr:row>
                <xdr:rowOff>12700</xdr:rowOff>
              </from>
              <to>
                <xdr:col>3</xdr:col>
                <xdr:colOff>723900</xdr:colOff>
                <xdr:row>157</xdr:row>
                <xdr:rowOff>25400</xdr:rowOff>
              </to>
            </anchor>
          </objectPr>
        </oleObject>
      </mc:Choice>
      <mc:Fallback>
        <oleObject progId="Visio.Drawing.15" shapeId="1049" r:id="rId4"/>
      </mc:Fallback>
    </mc:AlternateContent>
    <mc:AlternateContent xmlns:mc="http://schemas.openxmlformats.org/markup-compatibility/2006">
      <mc:Choice Requires="x14">
        <oleObject progId="Visio.Drawing.15" shapeId="1050" r:id="rId6">
          <objectPr defaultSize="0" autoPict="0" r:id="rId7">
            <anchor moveWithCells="1">
              <from>
                <xdr:col>1</xdr:col>
                <xdr:colOff>0</xdr:colOff>
                <xdr:row>13</xdr:row>
                <xdr:rowOff>38100</xdr:rowOff>
              </from>
              <to>
                <xdr:col>4</xdr:col>
                <xdr:colOff>2044700</xdr:colOff>
                <xdr:row>32</xdr:row>
                <xdr:rowOff>127000</xdr:rowOff>
              </to>
            </anchor>
          </objectPr>
        </oleObject>
      </mc:Choice>
      <mc:Fallback>
        <oleObject progId="Visio.Drawing.15" shapeId="1050" r:id="rId6"/>
      </mc:Fallback>
    </mc:AlternateContent>
  </oleObjects>
  <extLst>
    <ext xmlns:x14="http://schemas.microsoft.com/office/spreadsheetml/2009/9/main" uri="{78C0D931-6437-407d-A8EE-F0AAD7539E65}">
      <x14:conditionalFormattings>
        <x14:conditionalFormatting xmlns:xm="http://schemas.microsoft.com/office/excel/2006/main">
          <x14:cfRule type="colorScale" priority="1" id="{71F353E1-88C4-48AC-A1A0-60864D74F2C2}">
            <x14:colorScale>
              <x14:cfvo type="formula">
                <xm:f>Options!$H$3</xm:f>
              </x14:cfvo>
              <x14:cfvo type="formula">
                <xm:f>Options!$H$10</xm:f>
              </x14:cfvo>
              <x14:color rgb="FFF8696B"/>
              <x14:color rgb="FF63BE7B"/>
            </x14:colorScale>
          </x14:cfRule>
          <xm:sqref>F19:G20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2AA3-E9DF-460B-A7DB-F20CCBA51370}">
  <sheetPr codeName="Sheet2"/>
  <dimension ref="A1:F38"/>
  <sheetViews>
    <sheetView workbookViewId="0">
      <selection activeCell="B18" sqref="B18"/>
    </sheetView>
  </sheetViews>
  <sheetFormatPr baseColWidth="10" defaultColWidth="8.83203125" defaultRowHeight="15" x14ac:dyDescent="0.2"/>
  <cols>
    <col min="2" max="2" width="12" bestFit="1" customWidth="1"/>
    <col min="6" max="6" width="12" bestFit="1" customWidth="1"/>
  </cols>
  <sheetData>
    <row r="1" spans="1:6" x14ac:dyDescent="0.2">
      <c r="A1" t="s">
        <v>267</v>
      </c>
      <c r="B1" s="3">
        <v>1E+17</v>
      </c>
      <c r="C1" t="s">
        <v>270</v>
      </c>
      <c r="D1">
        <v>18</v>
      </c>
    </row>
    <row r="2" spans="1:6" x14ac:dyDescent="0.2">
      <c r="A2" t="s">
        <v>266</v>
      </c>
      <c r="B2" s="3">
        <v>1000000000000000</v>
      </c>
      <c r="C2" t="s">
        <v>269</v>
      </c>
      <c r="D2">
        <v>15</v>
      </c>
    </row>
    <row r="3" spans="1:6" x14ac:dyDescent="0.2">
      <c r="A3" t="s">
        <v>262</v>
      </c>
      <c r="B3" s="3">
        <v>1000000000000</v>
      </c>
      <c r="C3" t="s">
        <v>268</v>
      </c>
      <c r="D3">
        <v>12</v>
      </c>
    </row>
    <row r="4" spans="1:6" x14ac:dyDescent="0.2">
      <c r="A4" t="s">
        <v>263</v>
      </c>
      <c r="B4" s="3">
        <v>1000000000</v>
      </c>
      <c r="C4" t="s">
        <v>261</v>
      </c>
      <c r="D4">
        <f>LOG10(Giga)</f>
        <v>9</v>
      </c>
    </row>
    <row r="5" spans="1:6" x14ac:dyDescent="0.2">
      <c r="A5" t="s">
        <v>264</v>
      </c>
      <c r="B5" s="3">
        <v>1000000</v>
      </c>
      <c r="C5" t="s">
        <v>43</v>
      </c>
      <c r="D5">
        <f>LOG10(Mega)</f>
        <v>6</v>
      </c>
    </row>
    <row r="6" spans="1:6" x14ac:dyDescent="0.2">
      <c r="A6" t="s">
        <v>265</v>
      </c>
      <c r="B6" s="3">
        <v>1000</v>
      </c>
      <c r="C6" t="s">
        <v>44</v>
      </c>
      <c r="D6">
        <f>LOG10(kilo)</f>
        <v>3</v>
      </c>
    </row>
    <row r="7" spans="1:6" x14ac:dyDescent="0.2">
      <c r="B7" s="3">
        <v>1</v>
      </c>
      <c r="D7">
        <f>LOG10(B7)</f>
        <v>0</v>
      </c>
      <c r="F7" s="3"/>
    </row>
    <row r="8" spans="1:6" x14ac:dyDescent="0.2">
      <c r="A8" t="s">
        <v>45</v>
      </c>
      <c r="B8" s="3">
        <v>1E-3</v>
      </c>
      <c r="C8" t="s">
        <v>45</v>
      </c>
      <c r="D8">
        <f>LOG10(milli)</f>
        <v>-3</v>
      </c>
    </row>
    <row r="9" spans="1:6" x14ac:dyDescent="0.2">
      <c r="A9" t="s">
        <v>46</v>
      </c>
      <c r="B9" s="3">
        <v>9.9999999999999995E-7</v>
      </c>
      <c r="C9" t="s">
        <v>258</v>
      </c>
      <c r="D9">
        <f>LOG10(micro)</f>
        <v>-6</v>
      </c>
    </row>
    <row r="10" spans="1:6" x14ac:dyDescent="0.2">
      <c r="A10" t="s">
        <v>106</v>
      </c>
      <c r="B10" s="3">
        <v>1.0000000000000001E-9</v>
      </c>
      <c r="C10" t="s">
        <v>257</v>
      </c>
      <c r="D10">
        <f>LOG10(nano)</f>
        <v>-9</v>
      </c>
    </row>
    <row r="11" spans="1:6" x14ac:dyDescent="0.2">
      <c r="A11" t="s">
        <v>259</v>
      </c>
      <c r="B11" s="3">
        <v>9.9999999999999998E-13</v>
      </c>
      <c r="C11" t="s">
        <v>260</v>
      </c>
      <c r="D11">
        <f>LOG10(pico)</f>
        <v>-12</v>
      </c>
    </row>
    <row r="12" spans="1:6" x14ac:dyDescent="0.2">
      <c r="A12" t="s">
        <v>271</v>
      </c>
      <c r="B12" s="3">
        <v>1.0000000000000001E-15</v>
      </c>
      <c r="C12" t="s">
        <v>272</v>
      </c>
      <c r="D12">
        <v>-15</v>
      </c>
    </row>
    <row r="13" spans="1:6" x14ac:dyDescent="0.2">
      <c r="A13" t="s">
        <v>273</v>
      </c>
      <c r="B13" s="3">
        <v>1.0000000000000001E-18</v>
      </c>
      <c r="C13" t="s">
        <v>275</v>
      </c>
      <c r="D13">
        <v>-18</v>
      </c>
    </row>
    <row r="14" spans="1:6" x14ac:dyDescent="0.2">
      <c r="A14" t="s">
        <v>274</v>
      </c>
      <c r="B14" s="3">
        <v>9.9999999999999991E-22</v>
      </c>
      <c r="C14" t="s">
        <v>276</v>
      </c>
      <c r="D14">
        <v>-21</v>
      </c>
    </row>
    <row r="15" spans="1:6" x14ac:dyDescent="0.2">
      <c r="B15" s="3"/>
    </row>
    <row r="16" spans="1:6" x14ac:dyDescent="0.2">
      <c r="A16" t="s">
        <v>62</v>
      </c>
      <c r="B16" s="3">
        <v>0.9</v>
      </c>
    </row>
    <row r="17" spans="1:2" x14ac:dyDescent="0.2">
      <c r="A17" t="s">
        <v>323</v>
      </c>
      <c r="B17" s="3">
        <v>0.88</v>
      </c>
    </row>
    <row r="18" spans="1:2" x14ac:dyDescent="0.2">
      <c r="A18" t="s">
        <v>89</v>
      </c>
      <c r="B18" s="3">
        <v>15.3</v>
      </c>
    </row>
    <row r="19" spans="1:2" x14ac:dyDescent="0.2">
      <c r="A19" t="s">
        <v>90</v>
      </c>
      <c r="B19" s="3">
        <v>9</v>
      </c>
    </row>
    <row r="20" spans="1:2" x14ac:dyDescent="0.2">
      <c r="A20" t="s">
        <v>97</v>
      </c>
      <c r="B20" s="3">
        <v>1E-4</v>
      </c>
    </row>
    <row r="21" spans="1:2" x14ac:dyDescent="0.2">
      <c r="A21" t="s">
        <v>105</v>
      </c>
      <c r="B21">
        <f>1/(FSw)</f>
        <v>1.5384615384615384E-5</v>
      </c>
    </row>
    <row r="22" spans="1:2" x14ac:dyDescent="0.2">
      <c r="A22" t="s">
        <v>140</v>
      </c>
      <c r="B22" s="3">
        <v>1.0000000000000001E-5</v>
      </c>
    </row>
    <row r="23" spans="1:2" x14ac:dyDescent="0.2">
      <c r="A23" t="s">
        <v>142</v>
      </c>
      <c r="B23" s="3">
        <v>3.6000000000000002E-4</v>
      </c>
    </row>
    <row r="24" spans="1:2" x14ac:dyDescent="0.2">
      <c r="A24" t="s">
        <v>146</v>
      </c>
      <c r="B24" s="3">
        <v>2E-3</v>
      </c>
    </row>
    <row r="25" spans="1:2" x14ac:dyDescent="0.2">
      <c r="A25" t="s">
        <v>150</v>
      </c>
      <c r="B25" s="3">
        <v>3.6000000000000002E-4</v>
      </c>
    </row>
    <row r="26" spans="1:2" x14ac:dyDescent="0.2">
      <c r="A26" t="s">
        <v>308</v>
      </c>
      <c r="B26" s="3">
        <v>2.5999999999999998E-4</v>
      </c>
    </row>
    <row r="27" spans="1:2" x14ac:dyDescent="0.2">
      <c r="A27" t="s">
        <v>162</v>
      </c>
      <c r="B27" s="3">
        <v>1.4</v>
      </c>
    </row>
    <row r="28" spans="1:2" x14ac:dyDescent="0.2">
      <c r="A28" t="s">
        <v>163</v>
      </c>
      <c r="B28" s="3">
        <v>1.45</v>
      </c>
    </row>
    <row r="29" spans="1:2" x14ac:dyDescent="0.2">
      <c r="A29" t="s">
        <v>164</v>
      </c>
      <c r="B29" s="3">
        <v>3.9999999999999998E-6</v>
      </c>
    </row>
    <row r="30" spans="1:2" x14ac:dyDescent="0.2">
      <c r="A30" t="s">
        <v>168</v>
      </c>
      <c r="B30" s="3">
        <v>1E-4</v>
      </c>
    </row>
    <row r="31" spans="1:2" x14ac:dyDescent="0.2">
      <c r="A31" t="s">
        <v>174</v>
      </c>
      <c r="B31" s="3">
        <v>1</v>
      </c>
    </row>
    <row r="32" spans="1:2" x14ac:dyDescent="0.2">
      <c r="A32" t="s">
        <v>224</v>
      </c>
      <c r="B32" s="3">
        <v>10000</v>
      </c>
    </row>
    <row r="33" spans="1:2" x14ac:dyDescent="0.2">
      <c r="A33" t="s">
        <v>230</v>
      </c>
      <c r="B33" s="3">
        <v>2.5</v>
      </c>
    </row>
    <row r="34" spans="1:2" x14ac:dyDescent="0.2">
      <c r="A34" t="s">
        <v>232</v>
      </c>
      <c r="B34" s="3">
        <v>1.25E-4</v>
      </c>
    </row>
    <row r="35" spans="1:2" x14ac:dyDescent="0.2">
      <c r="A35" t="s">
        <v>231</v>
      </c>
      <c r="B35" s="3">
        <v>1E-3</v>
      </c>
    </row>
    <row r="36" spans="1:2" x14ac:dyDescent="0.2">
      <c r="A36" t="s">
        <v>256</v>
      </c>
      <c r="B36" s="3">
        <v>80</v>
      </c>
    </row>
    <row r="37" spans="1:2" x14ac:dyDescent="0.2">
      <c r="A37" t="s">
        <v>319</v>
      </c>
      <c r="B37" s="3">
        <v>28</v>
      </c>
    </row>
    <row r="38" spans="1:2" x14ac:dyDescent="0.2">
      <c r="A38" t="s">
        <v>321</v>
      </c>
      <c r="B38" s="3">
        <v>1</v>
      </c>
    </row>
  </sheetData>
  <sheetProtection algorithmName="SHA-512" hashValue="FyJvVY5XgCVhwkHekKOxvpnGNn7swFBI2xley2KhCdPWQyS4gOA9Qa+yWrmWjHZBw1+PzYByz40U3g0uytLyYg==" saltValue="ivXirr4ksl2BSe7pHkP26g==" spinCount="100000" sheet="1" objects="1" scenarios="1" selectLockedCells="1" selectUn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5C6E-C366-4E46-B85D-B627DAD39641}">
  <sheetPr codeName="Sheet3"/>
  <dimension ref="A1:M26"/>
  <sheetViews>
    <sheetView workbookViewId="0">
      <selection activeCell="M3" sqref="M3"/>
    </sheetView>
  </sheetViews>
  <sheetFormatPr baseColWidth="10" defaultColWidth="8.83203125" defaultRowHeight="15" x14ac:dyDescent="0.2"/>
  <cols>
    <col min="5" max="5" width="11.33203125" customWidth="1"/>
    <col min="6" max="6" width="14.5" bestFit="1" customWidth="1"/>
    <col min="8" max="8" width="10.5" bestFit="1" customWidth="1"/>
    <col min="10" max="10" width="10.5" bestFit="1" customWidth="1"/>
  </cols>
  <sheetData>
    <row r="1" spans="1:13" x14ac:dyDescent="0.2">
      <c r="A1" t="s">
        <v>8</v>
      </c>
    </row>
    <row r="2" spans="1:13" x14ac:dyDescent="0.2">
      <c r="B2" t="s">
        <v>9</v>
      </c>
      <c r="D2" t="s">
        <v>10</v>
      </c>
      <c r="F2" t="s">
        <v>13</v>
      </c>
      <c r="J2" t="s">
        <v>25</v>
      </c>
      <c r="K2" t="s">
        <v>26</v>
      </c>
      <c r="L2" t="s">
        <v>27</v>
      </c>
    </row>
    <row r="3" spans="1:13" x14ac:dyDescent="0.2">
      <c r="A3">
        <v>0</v>
      </c>
      <c r="B3" t="s">
        <v>302</v>
      </c>
      <c r="C3">
        <v>0</v>
      </c>
      <c r="D3" t="s">
        <v>11</v>
      </c>
      <c r="E3">
        <v>0</v>
      </c>
      <c r="F3" t="s">
        <v>15</v>
      </c>
      <c r="H3" t="s">
        <v>17</v>
      </c>
      <c r="J3">
        <f>IF(Start!G14="65 kHz",0,1)</f>
        <v>0</v>
      </c>
      <c r="K3">
        <f>IF(Start!G16="Auto restart",0,1)</f>
        <v>0</v>
      </c>
      <c r="L3">
        <f>IF(Start!G15="BO",0,1)</f>
        <v>1</v>
      </c>
      <c r="M3">
        <f xml:space="preserve"> L3+(2*K3)+(4*J3)</f>
        <v>1</v>
      </c>
    </row>
    <row r="4" spans="1:13" x14ac:dyDescent="0.2">
      <c r="A4">
        <v>1</v>
      </c>
      <c r="B4" t="s">
        <v>303</v>
      </c>
      <c r="C4">
        <v>1</v>
      </c>
      <c r="D4" t="s">
        <v>12</v>
      </c>
      <c r="E4">
        <v>1</v>
      </c>
      <c r="F4" t="s">
        <v>14</v>
      </c>
      <c r="H4" t="s">
        <v>18</v>
      </c>
      <c r="J4" t="str">
        <f ca="1">OFFSET(H3,M3,0,1,1)</f>
        <v>UCC287502</v>
      </c>
    </row>
    <row r="5" spans="1:13" x14ac:dyDescent="0.2">
      <c r="H5" t="s">
        <v>19</v>
      </c>
    </row>
    <row r="6" spans="1:13" x14ac:dyDescent="0.2">
      <c r="A6" t="s">
        <v>28</v>
      </c>
      <c r="H6" t="s">
        <v>20</v>
      </c>
    </row>
    <row r="7" spans="1:13" x14ac:dyDescent="0.2">
      <c r="A7" t="s">
        <v>29</v>
      </c>
      <c r="H7" t="s">
        <v>21</v>
      </c>
    </row>
    <row r="8" spans="1:13" x14ac:dyDescent="0.2">
      <c r="A8" t="s">
        <v>30</v>
      </c>
      <c r="H8" t="s">
        <v>22</v>
      </c>
    </row>
    <row r="9" spans="1:13" x14ac:dyDescent="0.2">
      <c r="H9" t="s">
        <v>23</v>
      </c>
    </row>
    <row r="10" spans="1:13" x14ac:dyDescent="0.2">
      <c r="H10" t="s">
        <v>24</v>
      </c>
    </row>
    <row r="17" spans="1:8" ht="32.25" customHeight="1" x14ac:dyDescent="0.2">
      <c r="A17" t="s">
        <v>279</v>
      </c>
      <c r="C17" t="s">
        <v>285</v>
      </c>
      <c r="E17" s="5" t="s">
        <v>103</v>
      </c>
      <c r="G17" t="s">
        <v>287</v>
      </c>
    </row>
    <row r="18" spans="1:8" x14ac:dyDescent="0.2">
      <c r="A18" t="s">
        <v>280</v>
      </c>
      <c r="B18">
        <v>1</v>
      </c>
      <c r="C18" t="s">
        <v>286</v>
      </c>
      <c r="D18">
        <v>1E-3</v>
      </c>
      <c r="E18" t="s">
        <v>280</v>
      </c>
      <c r="F18">
        <v>1</v>
      </c>
      <c r="G18" t="s">
        <v>280</v>
      </c>
      <c r="H18">
        <v>1</v>
      </c>
    </row>
    <row r="19" spans="1:8" x14ac:dyDescent="0.2">
      <c r="A19" t="s">
        <v>281</v>
      </c>
      <c r="B19">
        <v>1000</v>
      </c>
      <c r="C19" t="s">
        <v>280</v>
      </c>
      <c r="D19">
        <v>1</v>
      </c>
      <c r="E19" t="s">
        <v>281</v>
      </c>
      <c r="F19">
        <v>1000</v>
      </c>
      <c r="G19" t="s">
        <v>281</v>
      </c>
      <c r="H19">
        <v>1000</v>
      </c>
    </row>
    <row r="20" spans="1:8" x14ac:dyDescent="0.2">
      <c r="A20" t="s">
        <v>282</v>
      </c>
      <c r="B20" s="3">
        <v>1000000</v>
      </c>
    </row>
    <row r="23" spans="1:8" x14ac:dyDescent="0.2">
      <c r="A23" t="s">
        <v>288</v>
      </c>
    </row>
    <row r="24" spans="1:8" x14ac:dyDescent="0.2">
      <c r="A24" t="s">
        <v>289</v>
      </c>
      <c r="B24" s="3">
        <v>9.9999999999999995E-7</v>
      </c>
    </row>
    <row r="25" spans="1:8" x14ac:dyDescent="0.2">
      <c r="A25" t="s">
        <v>290</v>
      </c>
      <c r="B25" s="3">
        <v>1.0000000000000001E-9</v>
      </c>
    </row>
    <row r="26" spans="1:8" x14ac:dyDescent="0.2">
      <c r="A26" t="s">
        <v>291</v>
      </c>
      <c r="B26" s="3">
        <v>9.9999999999999998E-13</v>
      </c>
    </row>
  </sheetData>
  <sheetProtection algorithmName="SHA-512" hashValue="K8t32UStQ1JD+VZnd3rDa09C9swBlZYmjzG/dgW8WgEMQXCPaht3Z199+BXYHqxYzKjSV87nQsCz6xBVBejWjg==" saltValue="T0TY+Eaj9A9bIYp8xaoC4w=="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D3803-383B-42C6-ABA2-830C5F85D389}">
  <sheetPr codeName="Sheet4"/>
  <dimension ref="B1:F155"/>
  <sheetViews>
    <sheetView topLeftCell="A11" workbookViewId="0">
      <selection activeCell="C43" sqref="C43"/>
    </sheetView>
  </sheetViews>
  <sheetFormatPr baseColWidth="10" defaultColWidth="8.83203125" defaultRowHeight="15" x14ac:dyDescent="0.2"/>
  <cols>
    <col min="2" max="2" width="44.6640625" customWidth="1"/>
    <col min="3" max="3" width="29.6640625" customWidth="1"/>
    <col min="4" max="4" width="37.5" bestFit="1" customWidth="1"/>
    <col min="5" max="6" width="29.6640625" customWidth="1"/>
  </cols>
  <sheetData>
    <row r="1" spans="2:6" ht="16" thickBot="1" x14ac:dyDescent="0.25"/>
    <row r="2" spans="2:6" ht="17" thickBot="1" x14ac:dyDescent="0.3">
      <c r="B2" s="32" t="s">
        <v>306</v>
      </c>
      <c r="C2" s="33"/>
      <c r="D2" s="33"/>
      <c r="E2" s="33"/>
      <c r="F2" s="34"/>
    </row>
    <row r="3" spans="2:6" x14ac:dyDescent="0.2">
      <c r="B3" t="s">
        <v>301</v>
      </c>
      <c r="C3">
        <f>IF(SelFreq="65 kHz",65000,100000)</f>
        <v>65000</v>
      </c>
      <c r="D3" t="s">
        <v>35</v>
      </c>
    </row>
    <row r="4" spans="2:6" ht="16" thickBot="1" x14ac:dyDescent="0.25"/>
    <row r="5" spans="2:6" ht="17" thickBot="1" x14ac:dyDescent="0.3">
      <c r="B5" s="32" t="s">
        <v>47</v>
      </c>
      <c r="C5" s="33"/>
      <c r="D5" s="33"/>
      <c r="E5" s="33"/>
      <c r="F5" s="34"/>
    </row>
    <row r="6" spans="2:6" x14ac:dyDescent="0.2">
      <c r="B6" t="s">
        <v>65</v>
      </c>
      <c r="C6">
        <f xml:space="preserve"> IF(SelVinType="AC", SQRT(2)*UsrVinMin, UsrVinMin)</f>
        <v>127.27922061357856</v>
      </c>
    </row>
    <row r="7" spans="2:6" x14ac:dyDescent="0.2">
      <c r="B7" t="s">
        <v>69</v>
      </c>
      <c r="C7">
        <f ca="1">(CalcPo)/(UsrEstEff/100)</f>
        <v>35.294117647058826</v>
      </c>
      <c r="D7" t="s">
        <v>71</v>
      </c>
      <c r="E7">
        <f>(1/PI())*ASIN(UsrVinMinBulk/(C6))</f>
        <v>0.25</v>
      </c>
    </row>
    <row r="8" spans="2:6" x14ac:dyDescent="0.2">
      <c r="B8" t="s">
        <v>66</v>
      </c>
      <c r="C8">
        <f ca="1">C7*(0.5+E7)</f>
        <v>26.47058823529412</v>
      </c>
    </row>
    <row r="9" spans="2:6" x14ac:dyDescent="0.2">
      <c r="B9" t="s">
        <v>67</v>
      </c>
      <c r="C9">
        <f>(POWER(C6,2)-POWER(UsrVinMinBulk,2))*UsrLineFMin</f>
        <v>380700.00000000006</v>
      </c>
    </row>
    <row r="10" spans="2:6" x14ac:dyDescent="0.2">
      <c r="B10" t="s">
        <v>48</v>
      </c>
      <c r="C10">
        <f ca="1">C8/C9</f>
        <v>6.9531358642747874E-5</v>
      </c>
      <c r="D10" s="6">
        <f ca="1">MATCH(ROUND(LOG10(CalcRecInputBulkCap),0),UnitExpo,-1)</f>
        <v>8</v>
      </c>
      <c r="E10" s="6">
        <f ca="1">ROUND(CalcRecInputBulkCap*1/OFFSET(Exa,D10,0),2)</f>
        <v>69.53</v>
      </c>
      <c r="F10" s="6" t="str">
        <f ca="1">OFFSET(UnitSymbolExa,D10,0)&amp;"F"</f>
        <v>μF</v>
      </c>
    </row>
    <row r="11" spans="2:6" x14ac:dyDescent="0.2">
      <c r="B11" t="s">
        <v>278</v>
      </c>
      <c r="C11">
        <f>UsrIout*UsrVout</f>
        <v>30</v>
      </c>
      <c r="D11" s="6">
        <f>MATCH(ROUND(LOG10(CalcUsrPo),0),UnitExpo,-1)</f>
        <v>6</v>
      </c>
      <c r="E11" s="6">
        <f ca="1">ROUND(CalcUsrPo*1/OFFSET(Exa,D11,0),2)</f>
        <v>30</v>
      </c>
      <c r="F11" s="6" t="str">
        <f ca="1">OFFSET(UnitSymbolExa,D11,0)&amp;"W"</f>
        <v>W</v>
      </c>
    </row>
    <row r="12" spans="2:6" ht="16" thickBot="1" x14ac:dyDescent="0.25">
      <c r="B12" t="s">
        <v>381</v>
      </c>
      <c r="C12">
        <f>CalcUsrPo / (UsrEstEff/100)</f>
        <v>35.294117647058826</v>
      </c>
      <c r="D12" s="6">
        <f>MATCH(ROUND(LOG10(CalcEstPin),0),UnitExpo,-1)</f>
        <v>6</v>
      </c>
      <c r="E12" s="6">
        <f ca="1">ROUND(CalcEstPin*1/OFFSET(Exa,D12,0),2)</f>
        <v>35.29</v>
      </c>
      <c r="F12" s="6" t="str">
        <f ca="1">OFFSET(UnitSymbolExa,D12,0)&amp;"W"</f>
        <v>W</v>
      </c>
    </row>
    <row r="13" spans="2:6" ht="17" thickBot="1" x14ac:dyDescent="0.3">
      <c r="B13" s="32" t="s">
        <v>49</v>
      </c>
      <c r="C13" s="33"/>
      <c r="D13" s="33"/>
      <c r="E13" s="33"/>
      <c r="F13" s="34"/>
    </row>
    <row r="14" spans="2:6" x14ac:dyDescent="0.2">
      <c r="B14" t="s">
        <v>72</v>
      </c>
      <c r="C14">
        <v>0.8</v>
      </c>
      <c r="D14" t="s">
        <v>75</v>
      </c>
      <c r="E14">
        <f>IF(SelVinType="AC", UsrVinMax*SQRT(2), UsrVinMax)</f>
        <v>374.7665940288702</v>
      </c>
    </row>
    <row r="15" spans="2:6" x14ac:dyDescent="0.2">
      <c r="B15" t="s">
        <v>80</v>
      </c>
      <c r="C15">
        <f>(UsrMosDerating/100)*UsrMosVds</f>
        <v>520</v>
      </c>
      <c r="D15" t="s">
        <v>84</v>
      </c>
      <c r="E15">
        <f>UsrVout+UsrVF</f>
        <v>25</v>
      </c>
    </row>
    <row r="16" spans="2:6" x14ac:dyDescent="0.2">
      <c r="B16" t="s">
        <v>76</v>
      </c>
      <c r="C16">
        <f>(CalcVoVF*(1-UsrDutyMax/100))/(UsrVinMinBulk*UsrDutyMax/100)</f>
        <v>0.14957264957264957</v>
      </c>
      <c r="D16" t="s">
        <v>77</v>
      </c>
      <c r="E16">
        <f>1/C16</f>
        <v>6.6857142857142859</v>
      </c>
      <c r="F16">
        <f>_xlfn.CEILING.MATH(1/C16,1)</f>
        <v>7</v>
      </c>
    </row>
    <row r="17" spans="2:6" x14ac:dyDescent="0.2">
      <c r="D17" t="s">
        <v>78</v>
      </c>
      <c r="E17">
        <f>Np/E16</f>
        <v>0.14957264957264957</v>
      </c>
      <c r="F17">
        <f>1/F16</f>
        <v>0.14285714285714285</v>
      </c>
    </row>
    <row r="18" spans="2:6" x14ac:dyDescent="0.2">
      <c r="B18" t="s">
        <v>79</v>
      </c>
      <c r="C18">
        <f>E14+E16*UsrVout</f>
        <v>535.22373688601306</v>
      </c>
      <c r="D18">
        <f>E14+F16*UsrVout</f>
        <v>542.76659402887026</v>
      </c>
    </row>
    <row r="19" spans="2:6" x14ac:dyDescent="0.2">
      <c r="B19" t="s">
        <v>82</v>
      </c>
      <c r="C19">
        <f>_xlfn.CEILING.MATH(UsrMosVds-C18,1)</f>
        <v>115</v>
      </c>
      <c r="D19">
        <f>_xlfn.CEILING.MATH(UsrMosVds-D18,1)</f>
        <v>108</v>
      </c>
    </row>
    <row r="20" spans="2:6" x14ac:dyDescent="0.2">
      <c r="B20" t="s">
        <v>83</v>
      </c>
      <c r="C20">
        <f>ROUND((CalcVoVF)/(CalcNS*UsrVinMinBulk+(CalcVoVF))*100,2)</f>
        <v>65</v>
      </c>
      <c r="D20" t="s">
        <v>92</v>
      </c>
      <c r="E20">
        <f>ROUND((UsrVout+UsrVF)*(1/UsrNSA),2)</f>
        <v>25</v>
      </c>
      <c r="F20" t="s">
        <v>41</v>
      </c>
    </row>
    <row r="21" spans="2:6" x14ac:dyDescent="0.2">
      <c r="B21" t="s">
        <v>87</v>
      </c>
      <c r="C21">
        <f>POWER(UsrVinMinBulk,2)*POWER((CalcDutyMax/100),2)*(Tsw)*(UsrEstEff/100)</f>
        <v>4.4752500000000001E-2</v>
      </c>
      <c r="E21">
        <f>(UsrVout+UsrVF)*(1/UsrNSA)</f>
        <v>25</v>
      </c>
      <c r="F21" t="str">
        <f>IF(CalcSSVdd&gt;VddOvlo,"Auxiliary winding voltage too high, VDD OVLO protection will be triggered. Too high of a voltage will cause damage!", IF((VUvloOff)/CalcSSVdd &gt; 1, "Device will not operate, steady state VDD Voltage is less than turn off threshold",  IF((VUvloOff+1)/CalcSSVdd &gt; 0.9,"Steady State VDD too close to turn off threshold, a load transient may cause the device to shut off","")))</f>
        <v/>
      </c>
    </row>
    <row r="22" spans="2:6" x14ac:dyDescent="0.2">
      <c r="B22" t="s">
        <v>88</v>
      </c>
      <c r="C22">
        <f ca="1">2*CalcPo*(UsrPoCcm/100)</f>
        <v>39</v>
      </c>
    </row>
    <row r="23" spans="2:6" x14ac:dyDescent="0.2">
      <c r="B23" t="s">
        <v>85</v>
      </c>
      <c r="C23">
        <f ca="1">C21/C22</f>
        <v>1.1475000000000001E-3</v>
      </c>
      <c r="D23" t="s">
        <v>120</v>
      </c>
    </row>
    <row r="24" spans="2:6" x14ac:dyDescent="0.2">
      <c r="B24" t="s">
        <v>85</v>
      </c>
      <c r="C24">
        <f ca="1">C21/C22</f>
        <v>1.1475000000000001E-3</v>
      </c>
      <c r="D24" t="s">
        <v>120</v>
      </c>
    </row>
    <row r="25" spans="2:6" x14ac:dyDescent="0.2">
      <c r="B25" t="s">
        <v>51</v>
      </c>
      <c r="C25" t="str">
        <f>_xlfn.CONCAT("1"," : ",ROUND(CalcNS,2))</f>
        <v>1 : 0.15</v>
      </c>
    </row>
    <row r="26" spans="2:6" x14ac:dyDescent="0.2">
      <c r="B26" t="s">
        <v>320</v>
      </c>
      <c r="C26">
        <f>ROUND(Np/CalcNS,2)</f>
        <v>6.69</v>
      </c>
    </row>
    <row r="27" spans="2:6" x14ac:dyDescent="0.2">
      <c r="B27" t="s">
        <v>53</v>
      </c>
      <c r="C27" t="str">
        <f>_xlfn.CONCAT(ROUND(UsedNS,2), " : ",ROUND(UsrNSA*UsedNS,2))</f>
        <v>0.17 : 0.17</v>
      </c>
    </row>
    <row r="28" spans="2:6" x14ac:dyDescent="0.2">
      <c r="B28" t="s">
        <v>53</v>
      </c>
    </row>
    <row r="29" spans="2:6" x14ac:dyDescent="0.2">
      <c r="B29" t="s">
        <v>57</v>
      </c>
    </row>
    <row r="30" spans="2:6" x14ac:dyDescent="0.2">
      <c r="B30" t="s">
        <v>60</v>
      </c>
    </row>
    <row r="31" spans="2:6" x14ac:dyDescent="0.2">
      <c r="B31" t="s">
        <v>83</v>
      </c>
      <c r="C31">
        <f>ROUND((CalcVoVF)/(UsedNS*UsrVinMinBulk+(CalcVoVF))*100,2)</f>
        <v>62.5</v>
      </c>
    </row>
    <row r="32" spans="2:6" x14ac:dyDescent="0.2">
      <c r="B32" t="s">
        <v>87</v>
      </c>
      <c r="C32">
        <f>POWER(UsrVinMinBulk,2)*POWER((C31/100),2)*(Tsw)*(UsrEstEff/100)</f>
        <v>4.1376201923076922E-2</v>
      </c>
    </row>
    <row r="33" spans="2:6" x14ac:dyDescent="0.2">
      <c r="B33" t="s">
        <v>88</v>
      </c>
      <c r="C33">
        <f ca="1">2*CalcPo*(UsrPoCcm/100)</f>
        <v>39</v>
      </c>
    </row>
    <row r="34" spans="2:6" x14ac:dyDescent="0.2">
      <c r="B34" t="s">
        <v>181</v>
      </c>
      <c r="C34">
        <f ca="1">C32/C33</f>
        <v>1.0609282544378697E-3</v>
      </c>
    </row>
    <row r="36" spans="2:6" x14ac:dyDescent="0.2">
      <c r="B36" t="s">
        <v>184</v>
      </c>
      <c r="C36">
        <f>IF(UsrNPS &lt;&gt; "", CalcUsrDutyMax, CalcDutyMax)</f>
        <v>62.5</v>
      </c>
    </row>
    <row r="37" spans="2:6" x14ac:dyDescent="0.2">
      <c r="B37" t="s">
        <v>182</v>
      </c>
      <c r="C37">
        <f ca="1">IF(CalcUsrLm &lt;&gt; "", CalcUsrLm, CalcLm)</f>
        <v>1.0609282544378697E-3</v>
      </c>
      <c r="D37" t="s">
        <v>183</v>
      </c>
      <c r="E37">
        <f>IF(UsrNPS &lt;&gt; "", Np/UsrNPS, CalcNS)</f>
        <v>0.16666666666666666</v>
      </c>
      <c r="F37">
        <f>IF(UsrNPS &lt;&gt; "", UsrNPS, CalcNPS)</f>
        <v>6</v>
      </c>
    </row>
    <row r="38" spans="2:6" x14ac:dyDescent="0.2">
      <c r="B38" t="s">
        <v>108</v>
      </c>
      <c r="C38">
        <f>UsrVout/(UsedNS*UsrVinMinBulk+UsrVout)</f>
        <v>0.61538461538461542</v>
      </c>
      <c r="D38" t="s">
        <v>109</v>
      </c>
      <c r="E38">
        <f ca="1">(UsrVout/UsrVinMinBulk)*SQRT((2*UsedLm)/(Tsw*(UsrVout/UsrIout)))</f>
        <v>0.71471484362108195</v>
      </c>
    </row>
    <row r="39" spans="2:6" x14ac:dyDescent="0.2">
      <c r="B39" t="s">
        <v>107</v>
      </c>
      <c r="C39" t="b">
        <f ca="1">(CalcNS*SQRT((2*CalcLm)/((UsrVout/UsrIout)*Tsw))&lt;(1-UsrVout/(CalcNS*UsrVinMinBulk+UsrVout)))</f>
        <v>0</v>
      </c>
    </row>
    <row r="40" spans="2:6" x14ac:dyDescent="0.2">
      <c r="B40" t="s">
        <v>110</v>
      </c>
      <c r="C40">
        <f ca="1">(UsrIout*UsedNS)/(1-DCcm) + (UsrVinMinBulk/(2*UsedLm))*Tsw*DCcm</f>
        <v>0.94323529411764706</v>
      </c>
      <c r="E40">
        <f ca="1">(UsrVinMinBulk/UsedLm)*(UsedDutyMax/100)*(Tsw)</f>
        <v>0.81568627450980402</v>
      </c>
    </row>
    <row r="41" spans="2:6" x14ac:dyDescent="0.2">
      <c r="B41" t="s">
        <v>101</v>
      </c>
      <c r="C41">
        <f ca="1">IF(IsDcmFullLoad,E40,C40)</f>
        <v>0.94323529411764706</v>
      </c>
    </row>
    <row r="42" spans="2:6" x14ac:dyDescent="0.2">
      <c r="B42" t="s">
        <v>385</v>
      </c>
      <c r="C42">
        <f>CalcEstPin/(UsrVinMinBulk*UsedDutyMax/100)</f>
        <v>0.62745098039215685</v>
      </c>
    </row>
    <row r="43" spans="2:6" x14ac:dyDescent="0.2">
      <c r="B43" t="s">
        <v>380</v>
      </c>
      <c r="C43">
        <f ca="1">IF(IsDcmFullLoad,CalcIPk*SQRT(DDcm/3),C42*SQRT(DCcm)*SQRT(1+(1/3)*POWER((CalcIPk-C42)/C42,2)))</f>
        <v>0.51257098193729944</v>
      </c>
      <c r="E43" t="str">
        <f>IF(PrettyMosLeakLeft &lt; 0,"Adjust Np:Ns Turns Ratio until this number is positive","")</f>
        <v/>
      </c>
    </row>
    <row r="44" spans="2:6" x14ac:dyDescent="0.2">
      <c r="B44" t="s">
        <v>318</v>
      </c>
      <c r="C44">
        <f>_xlfn.CEILING.MATH(UsrMosVds-(E14+(1/UsedNS)*UsrVout),1)</f>
        <v>132</v>
      </c>
    </row>
    <row r="45" spans="2:6" x14ac:dyDescent="0.2">
      <c r="D45" s="6">
        <f ca="1">MATCH(ROUND(LOG10(CalcLm),0),UnitExpo,-1)</f>
        <v>8</v>
      </c>
      <c r="E45" s="6">
        <f ca="1">ROUND(CalcLm*1/OFFSET(Exa,D45,0),2)</f>
        <v>1147.5</v>
      </c>
      <c r="F45" s="6" t="str">
        <f ca="1">OFFSET(UnitSymbolExa,D45,0)&amp;"H"</f>
        <v>μH</v>
      </c>
    </row>
    <row r="46" spans="2:6" x14ac:dyDescent="0.2">
      <c r="D46" s="6">
        <f ca="1">MATCH(ROUND(LOG10(CalcUsrLm),0),UnitExpo,-1)</f>
        <v>8</v>
      </c>
      <c r="E46" s="6">
        <f ca="1">ROUND(CalcUsrLm*1/OFFSET(Exa,D46,0),2)</f>
        <v>1060.93</v>
      </c>
      <c r="F46" s="6" t="str">
        <f ca="1">OFFSET(UnitSymbolExa,D46,0)&amp;"H"</f>
        <v>μH</v>
      </c>
    </row>
    <row r="47" spans="2:6" x14ac:dyDescent="0.2">
      <c r="D47" s="6">
        <f ca="1">MATCH(ROUND(LOG10(CalcIPk),1),UnitExpo,-1)</f>
        <v>7</v>
      </c>
      <c r="E47" s="6">
        <f ca="1">ROUND(CalcIPk*1/OFFSET(Exa,D47,0),2)</f>
        <v>943.24</v>
      </c>
      <c r="F47" s="6" t="str">
        <f ca="1">OFFSET(UnitSymbolExa,D47,0)&amp;"A"</f>
        <v>mA</v>
      </c>
    </row>
    <row r="48" spans="2:6" ht="16" thickBot="1" x14ac:dyDescent="0.25">
      <c r="D48" s="6">
        <f ca="1">MATCH(ROUND(LOG10(CalcIRms),1),UnitExpo,-1)</f>
        <v>7</v>
      </c>
      <c r="E48" s="6">
        <f ca="1">ROUND(CalcIRms*1/OFFSET(Exa,D48,0),2)</f>
        <v>512.57000000000005</v>
      </c>
      <c r="F48" s="6" t="str">
        <f ca="1">OFFSET(UnitSymbolExa,D48,0)&amp;"A"</f>
        <v>mA</v>
      </c>
    </row>
    <row r="49" spans="2:6" ht="17" thickBot="1" x14ac:dyDescent="0.3">
      <c r="B49" s="32" t="s">
        <v>54</v>
      </c>
      <c r="C49" s="33"/>
      <c r="D49" s="33"/>
      <c r="E49" s="33"/>
      <c r="F49" s="34"/>
    </row>
    <row r="50" spans="2:6" x14ac:dyDescent="0.2">
      <c r="C50">
        <f>CsMargin*CsMax</f>
        <v>0.79200000000000004</v>
      </c>
    </row>
    <row r="51" spans="2:6" x14ac:dyDescent="0.2">
      <c r="B51" t="s">
        <v>99</v>
      </c>
      <c r="C51">
        <f>ISlope/((UsedDutyMax/100)*Tsw)</f>
        <v>10.400000000000002</v>
      </c>
      <c r="D51" t="s">
        <v>113</v>
      </c>
    </row>
    <row r="52" spans="2:6" x14ac:dyDescent="0.2">
      <c r="B52" t="s">
        <v>100</v>
      </c>
      <c r="C52">
        <f ca="1">(CsMax*CsMargin)/CalcIPk</f>
        <v>0.83966323666978493</v>
      </c>
      <c r="D52" t="s">
        <v>112</v>
      </c>
    </row>
    <row r="53" spans="2:6" x14ac:dyDescent="0.2">
      <c r="B53" t="s">
        <v>98</v>
      </c>
      <c r="C53">
        <f ca="1">(CalcVoVF*(1/UsedNS))/(UsedLm)</f>
        <v>141385.62091503269</v>
      </c>
      <c r="D53" t="s">
        <v>113</v>
      </c>
    </row>
    <row r="54" spans="2:6" x14ac:dyDescent="0.2">
      <c r="B54" t="s">
        <v>102</v>
      </c>
      <c r="C54">
        <f ca="1">CalcRCs*CalcSOff</f>
        <v>118716.30807608359</v>
      </c>
      <c r="D54" t="s">
        <v>114</v>
      </c>
    </row>
    <row r="55" spans="2:6" x14ac:dyDescent="0.2">
      <c r="B55" t="s">
        <v>103</v>
      </c>
      <c r="C55">
        <f ca="1">(0.5*CalcOffRamp)/(IRamp)</f>
        <v>5707.5148113501709</v>
      </c>
      <c r="D55" t="s">
        <v>112</v>
      </c>
    </row>
    <row r="56" spans="2:6" x14ac:dyDescent="0.2">
      <c r="B56" t="s">
        <v>104</v>
      </c>
      <c r="C56">
        <f ca="1">CalcRSlope*IRamp*(UsedDutyMax/100)*(Tsw)+CalcRCs*CalcIPk</f>
        <v>1.3627514811350172</v>
      </c>
      <c r="D56" t="s">
        <v>41</v>
      </c>
    </row>
    <row r="57" spans="2:6" x14ac:dyDescent="0.2">
      <c r="B57" t="s">
        <v>111</v>
      </c>
      <c r="C57">
        <f ca="1">((CsMax*CsMargin)-CalcRSlope*IRamp*(UsedDutyMax/100)*Tsw)/(CalcIPk)</f>
        <v>0.2345634437608175</v>
      </c>
      <c r="D57" t="s">
        <v>112</v>
      </c>
    </row>
    <row r="58" spans="2:6" x14ac:dyDescent="0.2">
      <c r="B58" t="s">
        <v>388</v>
      </c>
      <c r="C58">
        <f ca="1">(CsMargin*CsMax-CalcRCs*CalcSOff*(1-UsedDutyMax/100)*Tsw)/(IRamp*(UsedDutyMax/100)*Tsw)</f>
        <v>1070.9822263797939</v>
      </c>
      <c r="D58" t="s">
        <v>112</v>
      </c>
    </row>
    <row r="59" spans="2:6" x14ac:dyDescent="0.2">
      <c r="C59">
        <f ca="1">CalcRslopeFixedRcs*IRamp*(UsedDutyMax/100)*Tsw+CalcRCs*CalcSOff*(1-UsedDutyMax/100)*Tsw</f>
        <v>0.79200000000000004</v>
      </c>
    </row>
    <row r="60" spans="2:6" x14ac:dyDescent="0.2">
      <c r="B60" t="s">
        <v>119</v>
      </c>
      <c r="C60">
        <f ca="1">IF(UsedDutyMax&gt;50,ROUND(CalcRslopeFixedRcs,2),0)</f>
        <v>1070.98</v>
      </c>
    </row>
    <row r="61" spans="2:6" x14ac:dyDescent="0.2">
      <c r="B61" t="s">
        <v>121</v>
      </c>
      <c r="C61">
        <f ca="1">CalcRSlope*IRamp*(UsedDutyMax/100)*(Tsw)+CalcRCsSlopeComp*CalcIPk</f>
        <v>0.79200000000000004</v>
      </c>
    </row>
    <row r="62" spans="2:6" x14ac:dyDescent="0.2">
      <c r="B62" t="s">
        <v>122</v>
      </c>
      <c r="C62">
        <f>UsrRCs*CHOOSE(MATCH(SelRCs,OptRCs,0),0.001,1)</f>
        <v>0.75</v>
      </c>
    </row>
    <row r="63" spans="2:6" x14ac:dyDescent="0.2">
      <c r="B63" t="s">
        <v>123</v>
      </c>
      <c r="C63">
        <f>UsrRSlope*CHOOSE(MATCH(SelRSlope,OptRSlope,0),1,1000)</f>
        <v>2000</v>
      </c>
      <c r="E63" t="str">
        <f ca="1">IF(C63&lt;ResRSlope, "User selected slope compensation is lower than calculated slope compensation, sub harmonic oscillation may occur, and take longer than a few cycles to settle","")</f>
        <v/>
      </c>
    </row>
    <row r="64" spans="2:6" x14ac:dyDescent="0.2">
      <c r="B64" t="s">
        <v>124</v>
      </c>
      <c r="C64">
        <f ca="1">ROUND(ConvUsrRSlope*IRamp*(UsedDutyMax/100)*(Tsw)+ConvUsrRCs*CalcSOff*(1-UsedDutyMax/100)*Tsw,3)</f>
        <v>0.81200000000000006</v>
      </c>
    </row>
    <row r="65" spans="2:6" x14ac:dyDescent="0.2">
      <c r="D65" t="str">
        <f ca="1">IF(ResUsrVCs&gt;0.9,"Modify selection of current sense resistor to lower final voltage below CS Max threshold","")</f>
        <v/>
      </c>
    </row>
    <row r="66" spans="2:6" x14ac:dyDescent="0.2">
      <c r="D66" s="6">
        <f ca="1">MATCH(ROUND(LOG10(CalcRCs),0),UnitExpo,-1)</f>
        <v>7</v>
      </c>
      <c r="E66" s="6">
        <f ca="1">ROUND(CalcRCs*1/OFFSET(Exa,D66,0),2)</f>
        <v>839.66</v>
      </c>
      <c r="F66" s="6" t="str">
        <f ca="1">OFFSET(UnitSymbolExa,D66,0)&amp;"Ω"</f>
        <v>mΩ</v>
      </c>
    </row>
    <row r="67" spans="2:6" x14ac:dyDescent="0.2">
      <c r="D67" s="6">
        <f ca="1">MATCH(ROUND(LOG10(ResUsrVCs),0),UnitExpo,-1)</f>
        <v>7</v>
      </c>
      <c r="E67" s="6">
        <f ca="1">ROUND(ResUsrVCs*1/OFFSET(Exa,D67,0),2)</f>
        <v>812</v>
      </c>
      <c r="F67" s="6" t="str">
        <f ca="1">OFFSET(UnitSymbolExa,D67,0)&amp;"V"</f>
        <v>mV</v>
      </c>
    </row>
    <row r="68" spans="2:6" x14ac:dyDescent="0.2">
      <c r="D68" s="6">
        <f ca="1">MATCH(ROUND(LOG10(CalcRCs),0),UnitExpo,-1)</f>
        <v>7</v>
      </c>
      <c r="E68" s="6">
        <f ca="1">ROUND(CalcRCs*1/OFFSET(Exa,D68,0),2)</f>
        <v>839.66</v>
      </c>
      <c r="F68" s="6" t="str">
        <f ca="1">OFFSET(UnitSymbolExa,D68,0)&amp;"Ω"</f>
        <v>mΩ</v>
      </c>
    </row>
    <row r="69" spans="2:6" x14ac:dyDescent="0.2">
      <c r="D69" s="6">
        <f ca="1">MATCH(ROUND(LOG10(ResRSlope),2),UnitExpo,-1)</f>
        <v>5</v>
      </c>
      <c r="E69" s="6">
        <f ca="1">IF(ResRSlope=0,0,ROUND(ResRSlope*1/OFFSET(Exa,D69,0),2))</f>
        <v>1.07</v>
      </c>
      <c r="F69" s="6" t="str">
        <f ca="1">IF(ResRSlope=0,"Ω", OFFSET(UnitSymbolExa,D69,0)&amp;"Ω")</f>
        <v>kΩ</v>
      </c>
    </row>
    <row r="70" spans="2:6" ht="16" thickBot="1" x14ac:dyDescent="0.25">
      <c r="D70" s="6">
        <f ca="1">MATCH(ROUND(LOG10(ResVCs),0),UnitExpo,-1)</f>
        <v>7</v>
      </c>
      <c r="E70" s="6">
        <f ca="1">ROUND(ResVCs*1/OFFSET(Exa,D70,0),2)</f>
        <v>792</v>
      </c>
      <c r="F70" s="6" t="str">
        <f ca="1">OFFSET(UnitSymbolExa,D70,0)&amp;"V"</f>
        <v>mV</v>
      </c>
    </row>
    <row r="71" spans="2:6" ht="17" thickBot="1" x14ac:dyDescent="0.3">
      <c r="B71" s="32" t="s">
        <v>73</v>
      </c>
      <c r="C71" s="33"/>
      <c r="D71" s="33"/>
      <c r="E71" s="33"/>
      <c r="F71" s="34"/>
    </row>
    <row r="72" spans="2:6" x14ac:dyDescent="0.2">
      <c r="B72" t="s">
        <v>74</v>
      </c>
      <c r="C72">
        <f>UsrVout+(UsrVinMax*SQRT(2))*UsedNS</f>
        <v>86.4610990048117</v>
      </c>
      <c r="D72">
        <f>ROUND(C72,0)</f>
        <v>86</v>
      </c>
    </row>
    <row r="74" spans="2:6" ht="16" thickBot="1" x14ac:dyDescent="0.25"/>
    <row r="75" spans="2:6" ht="17" thickBot="1" x14ac:dyDescent="0.3">
      <c r="B75" s="32" t="s">
        <v>126</v>
      </c>
      <c r="C75" s="33"/>
      <c r="D75" s="33"/>
      <c r="E75" s="33"/>
      <c r="F75" s="34"/>
    </row>
    <row r="76" spans="2:6" x14ac:dyDescent="0.2">
      <c r="B76" t="s">
        <v>127</v>
      </c>
      <c r="C76">
        <f>(UsrIout*(UsedDutyMax/100)*Tsw)/(UsrVout*(UsrVoutRipple/100))</f>
        <v>5.008012820512821E-5</v>
      </c>
      <c r="D76" t="s">
        <v>134</v>
      </c>
    </row>
    <row r="77" spans="2:6" x14ac:dyDescent="0.2">
      <c r="B77" t="s">
        <v>128</v>
      </c>
      <c r="C77">
        <f ca="1">(UsrIout*C83)/(UsrVTransDrop/100 * UsrVout)</f>
        <v>4.4847962809034829E-4</v>
      </c>
      <c r="D77" t="s">
        <v>134</v>
      </c>
      <c r="E77">
        <f ca="1">ROUND(C77*Mega,0)</f>
        <v>448</v>
      </c>
    </row>
    <row r="78" spans="2:6" x14ac:dyDescent="0.2">
      <c r="B78" t="s">
        <v>135</v>
      </c>
      <c r="C78">
        <f ca="1">(UsrIout * (UsedDutyMax/100))/(FSw * C77)</f>
        <v>2.6799948127876703E-2</v>
      </c>
      <c r="D78">
        <f ca="1">C78/UsrVout * 100</f>
        <v>0.11166645053281961</v>
      </c>
    </row>
    <row r="79" spans="2:6" x14ac:dyDescent="0.2">
      <c r="B79" t="s">
        <v>130</v>
      </c>
      <c r="C79">
        <f>POWER((1-UsedDutyMax/100),2)*UsrVout</f>
        <v>3.375</v>
      </c>
    </row>
    <row r="80" spans="2:6" x14ac:dyDescent="0.2">
      <c r="B80" t="s">
        <v>131</v>
      </c>
      <c r="C80">
        <f ca="1">2*PI()*(UsedDutyMax/100)*(UsedLm)*UsrIout*POWER(UsedNS,2)</f>
        <v>1.4466164974513256E-4</v>
      </c>
    </row>
    <row r="81" spans="2:6" x14ac:dyDescent="0.2">
      <c r="B81" t="s">
        <v>129</v>
      </c>
      <c r="C81">
        <f ca="1">C79/C80</f>
        <v>23330.302163331708</v>
      </c>
    </row>
    <row r="82" spans="2:6" x14ac:dyDescent="0.2">
      <c r="B82" t="s">
        <v>132</v>
      </c>
      <c r="C82">
        <f ca="1">C81/5</f>
        <v>4666.0604326663415</v>
      </c>
    </row>
    <row r="83" spans="2:6" x14ac:dyDescent="0.2">
      <c r="B83" t="s">
        <v>133</v>
      </c>
      <c r="C83">
        <f ca="1">(0.33/CalcRhpZeroDiv5+Tsw)</f>
        <v>8.6108088593346875E-5</v>
      </c>
      <c r="D83">
        <f>(0.33/6500+Tsw)</f>
        <v>6.6153846153846156E-5</v>
      </c>
    </row>
    <row r="84" spans="2:6" x14ac:dyDescent="0.2">
      <c r="B84" t="s">
        <v>149</v>
      </c>
      <c r="C84">
        <f ca="1">1/2 * ((C77*POWER(UsrVout,2))/CalcPo) + 0.002</f>
        <v>6.3054044296673439E-3</v>
      </c>
    </row>
    <row r="85" spans="2:6" x14ac:dyDescent="0.2">
      <c r="B85" t="s">
        <v>148</v>
      </c>
      <c r="C85">
        <f ca="1">SQRT((2*(CalcTVoutRise-0.002+C83)*CalcPo)/CalcCoutTrans)-UsrVout</f>
        <v>0.23881185206898792</v>
      </c>
    </row>
    <row r="87" spans="2:6" ht="16" thickBot="1" x14ac:dyDescent="0.25"/>
    <row r="88" spans="2:6" ht="17" thickBot="1" x14ac:dyDescent="0.3">
      <c r="B88" s="32" t="s">
        <v>141</v>
      </c>
      <c r="C88" s="33"/>
      <c r="D88" s="33"/>
      <c r="E88" s="33"/>
      <c r="F88" s="34"/>
    </row>
    <row r="89" spans="2:6" x14ac:dyDescent="0.2">
      <c r="B89" t="s">
        <v>309</v>
      </c>
      <c r="C89">
        <f>IF(UsrUsingDisable, Idis, IFault)</f>
        <v>3.6000000000000002E-4</v>
      </c>
    </row>
    <row r="90" spans="2:6" ht="16" x14ac:dyDescent="0.2">
      <c r="B90" s="5" t="s">
        <v>310</v>
      </c>
      <c r="C90">
        <f>CurrConstraint*0.8</f>
        <v>2.8800000000000001E-4</v>
      </c>
    </row>
    <row r="91" spans="2:6" x14ac:dyDescent="0.2">
      <c r="B91" t="s">
        <v>143</v>
      </c>
      <c r="C91">
        <f>(SQRT(2)*UsrVinMax-VUvloOn)/CurrConstraintMargin</f>
        <v>1248147.8959335771</v>
      </c>
      <c r="D91" s="6">
        <f>MATCH(ROUND(LOG10(CalcRStart),1),UnitExpo,-1)</f>
        <v>4</v>
      </c>
      <c r="E91" s="6">
        <f ca="1">ROUND(CalcRStart*1/OFFSET(Exa,D91,0),2)</f>
        <v>1.25</v>
      </c>
      <c r="F91" s="6" t="str">
        <f ca="1">OFFSET(UnitSymbolExa,D91,0)&amp;"Ω"</f>
        <v>MΩ</v>
      </c>
    </row>
    <row r="92" spans="2:6" x14ac:dyDescent="0.2">
      <c r="B92" t="s">
        <v>144</v>
      </c>
      <c r="C92">
        <f>(((SQRT(2)*UsrVinMin)/CalcRStart-IStart)*UsrTimeTurnOn)/VUvloOn</f>
        <v>6.0114032912311594E-6</v>
      </c>
      <c r="D92">
        <f>ROUND(C92*Mega,2)</f>
        <v>6.01</v>
      </c>
    </row>
    <row r="93" spans="2:6" x14ac:dyDescent="0.2">
      <c r="B93" t="s">
        <v>317</v>
      </c>
      <c r="C93">
        <v>1E-3</v>
      </c>
      <c r="D93" t="s">
        <v>42</v>
      </c>
    </row>
    <row r="94" spans="2:6" x14ac:dyDescent="0.2">
      <c r="B94" t="s">
        <v>151</v>
      </c>
      <c r="C94">
        <f ca="1">CalcCoutTrans/C93*CalcVoutOvershoot</f>
        <v>0.10710225059946697</v>
      </c>
      <c r="D94">
        <f>ROUND(LOG10(CalcRStart),0)</f>
        <v>6</v>
      </c>
    </row>
    <row r="95" spans="2:6" x14ac:dyDescent="0.2">
      <c r="B95" t="s">
        <v>316</v>
      </c>
      <c r="C95">
        <v>1</v>
      </c>
    </row>
    <row r="96" spans="2:6" x14ac:dyDescent="0.2">
      <c r="B96" t="s">
        <v>147</v>
      </c>
      <c r="C96">
        <f ca="1">((IOff*((CalcCoutTrans*UsrVout)/UsrIout+0.002))/(VUvloOn-VUvloOff-1))</f>
        <v>7.2073418667179005E-7</v>
      </c>
    </row>
    <row r="97" spans="2:6" ht="48" x14ac:dyDescent="0.2">
      <c r="C97">
        <f ca="1">(IOff*CalcTDecayVoutOvershoot)/(VUvloOn-(VUvloOff+1))</f>
        <v>7.2748698520392658E-6</v>
      </c>
      <c r="D97">
        <f ca="1">ROUND(C97*Mega,2)</f>
        <v>7.27</v>
      </c>
      <c r="E97" t="str">
        <f ca="1">_xlfn.CONCAT(D97, " to ", D98)</f>
        <v>7.27 to 67.92</v>
      </c>
      <c r="F97" s="5" t="s">
        <v>315</v>
      </c>
    </row>
    <row r="98" spans="2:6" x14ac:dyDescent="0.2">
      <c r="C98">
        <f>(IOff*C95)/(VUvloOn-(VUvloOff+1))</f>
        <v>6.7924528301886784E-5</v>
      </c>
      <c r="D98">
        <f>ROUND(C98*Mega,2)</f>
        <v>67.92</v>
      </c>
    </row>
    <row r="103" spans="2:6" ht="16" thickBot="1" x14ac:dyDescent="0.25"/>
    <row r="104" spans="2:6" ht="17" thickBot="1" x14ac:dyDescent="0.3">
      <c r="B104" s="32" t="s">
        <v>156</v>
      </c>
      <c r="C104" s="33"/>
      <c r="D104" s="33"/>
      <c r="E104" s="33"/>
      <c r="F104" s="34"/>
    </row>
    <row r="105" spans="2:6" x14ac:dyDescent="0.2">
      <c r="B105" t="s">
        <v>283</v>
      </c>
      <c r="C105">
        <f>UsrBoRTop*CHOOSE(MATCH(SelBoRTop,OptBoRTop,0),1,1000,1000000)</f>
        <v>3500000</v>
      </c>
    </row>
    <row r="106" spans="2:6" x14ac:dyDescent="0.2">
      <c r="B106" t="s">
        <v>284</v>
      </c>
      <c r="C106">
        <f>UsrBoRBot*CHOOSE(MATCH(SelBoRBot,OptBoRTop,0),1,1000,1000000)</f>
        <v>50000</v>
      </c>
    </row>
    <row r="107" spans="2:6" x14ac:dyDescent="0.2">
      <c r="B107" t="s">
        <v>161</v>
      </c>
      <c r="C107">
        <f>(VBi*(ConvUsrBoRBot+ConvUsrBoRTop))/ConvUsrBoRBot</f>
        <v>102.95</v>
      </c>
    </row>
    <row r="108" spans="2:6" x14ac:dyDescent="0.2">
      <c r="B108" t="s">
        <v>160</v>
      </c>
      <c r="C108">
        <f>(ConvUsrBoRBot*VBo+ConvUsrBoRTop*VBo-IBo*ConvUsrBoRBot*ConvUsrBoRTop)/ConvUsrBoRBot</f>
        <v>85.4</v>
      </c>
    </row>
    <row r="110" spans="2:6" ht="32" x14ac:dyDescent="0.2">
      <c r="B110" s="5" t="s">
        <v>166</v>
      </c>
      <c r="C110">
        <f>ROUND((ConvUsrBoRBot*(UsrBo-VBo))/(VBo-IBo*ConvUsrBoRBot),0)</f>
        <v>3483333</v>
      </c>
      <c r="D110" s="6">
        <f>MATCH(ROUND(LOG10(CalcBoRTop),0),UnitExpo,-1)</f>
        <v>4</v>
      </c>
      <c r="E110" s="6">
        <f ca="1">ROUND(CalcBoRTop*1/OFFSET(Exa,D110,0),2)</f>
        <v>3.48</v>
      </c>
      <c r="F110" s="6" t="str">
        <f ca="1">OFFSET(UnitSymbolExa,D110,0)&amp;"Ω"</f>
        <v>MΩ</v>
      </c>
    </row>
    <row r="111" spans="2:6" ht="32" x14ac:dyDescent="0.2">
      <c r="B111" s="5" t="s">
        <v>165</v>
      </c>
      <c r="C111">
        <f>ROUND((VBi*(ConvUsrBoRBot+C110))/ConvUsrBoRBot,2)</f>
        <v>102.47</v>
      </c>
    </row>
    <row r="114" spans="2:6" x14ac:dyDescent="0.2">
      <c r="B114" t="s">
        <v>169</v>
      </c>
      <c r="C114">
        <f>UsrRNtcRef*CHOOSE(MATCH(SelRNtc,OptNtc,0),1,1000)</f>
        <v>120000</v>
      </c>
    </row>
    <row r="115" spans="2:6" x14ac:dyDescent="0.2">
      <c r="B115" t="s">
        <v>175</v>
      </c>
      <c r="C115">
        <f>ROUND(POWER(LN(1/(INtc*UsedRNtcRef))/(UsrRNtcBeta)+1/(UsrRNtcTref+273.15),-1)-273.15,2)</f>
        <v>90.76</v>
      </c>
    </row>
    <row r="116" spans="2:6" x14ac:dyDescent="0.2">
      <c r="B116" t="s">
        <v>312</v>
      </c>
      <c r="C116">
        <f>ROUND(POWER(LN(1.2/(INtc*UsedRNtcRef))/(UsrRNtcBeta)+1/(UsrRNtcTref+273.15),-1)-273.15,2)</f>
        <v>84.96</v>
      </c>
    </row>
    <row r="118" spans="2:6" ht="16" thickBot="1" x14ac:dyDescent="0.25"/>
    <row r="119" spans="2:6" ht="17" thickBot="1" x14ac:dyDescent="0.3">
      <c r="B119" s="32" t="s">
        <v>186</v>
      </c>
      <c r="C119" s="33"/>
      <c r="D119" s="33"/>
      <c r="E119" s="33"/>
      <c r="F119" s="34"/>
    </row>
    <row r="120" spans="2:6" x14ac:dyDescent="0.2">
      <c r="B120" t="s">
        <v>304</v>
      </c>
      <c r="C120" t="b">
        <f ca="1">(CalcNS*SQRT((2*CalcLm)/((UsrVout/UsrIout)*Tsw))&lt;(1-UsrVout/(CalcNS*UsrBodeVin+UsrVout)))</f>
        <v>0</v>
      </c>
    </row>
    <row r="121" spans="2:6" x14ac:dyDescent="0.2">
      <c r="B121" t="s">
        <v>189</v>
      </c>
      <c r="C121">
        <f>ROUND((CalcVoVF)/(1/BodeN*UsrBodeVin+(CalcVoVF)),2)</f>
        <v>0.63</v>
      </c>
    </row>
    <row r="122" spans="2:6" x14ac:dyDescent="0.2">
      <c r="B122" t="s">
        <v>188</v>
      </c>
      <c r="C122">
        <f>FSw</f>
        <v>65000</v>
      </c>
    </row>
    <row r="123" spans="2:6" x14ac:dyDescent="0.2">
      <c r="B123" t="s">
        <v>187</v>
      </c>
      <c r="C123">
        <f>(BodeN*UsrVout)/(SQRT(2)*UsrBodeVin)</f>
        <v>1.131370849898476</v>
      </c>
    </row>
    <row r="124" spans="2:6" x14ac:dyDescent="0.2">
      <c r="B124" t="s">
        <v>190</v>
      </c>
      <c r="C124">
        <f>1/UsedNS</f>
        <v>6</v>
      </c>
    </row>
    <row r="125" spans="2:6" x14ac:dyDescent="0.2">
      <c r="B125" t="s">
        <v>191</v>
      </c>
      <c r="C125">
        <f ca="1">(2*UsedLm*BodeFsw)/(POWER(BodeN,2)*BodeR)</f>
        <v>0.19953801081730771</v>
      </c>
    </row>
    <row r="126" spans="2:6" x14ac:dyDescent="0.2">
      <c r="B126" t="s">
        <v>192</v>
      </c>
      <c r="C126">
        <f ca="1">CalcSOff</f>
        <v>141385.62091503269</v>
      </c>
    </row>
    <row r="127" spans="2:6" x14ac:dyDescent="0.2">
      <c r="B127" t="s">
        <v>193</v>
      </c>
      <c r="C127">
        <f>IRamp</f>
        <v>10.400000000000002</v>
      </c>
    </row>
    <row r="128" spans="2:6" x14ac:dyDescent="0.2">
      <c r="B128" t="s">
        <v>194</v>
      </c>
      <c r="C128">
        <v>2</v>
      </c>
    </row>
    <row r="129" spans="2:6" x14ac:dyDescent="0.2">
      <c r="B129" t="s">
        <v>195</v>
      </c>
      <c r="C129">
        <f>UsrVout/UsrIout</f>
        <v>19.2</v>
      </c>
    </row>
    <row r="130" spans="2:6" x14ac:dyDescent="0.2">
      <c r="B130" t="s">
        <v>208</v>
      </c>
      <c r="C130">
        <f>UsrTotalESR</f>
        <v>0.03</v>
      </c>
    </row>
    <row r="131" spans="2:6" x14ac:dyDescent="0.2">
      <c r="B131" t="s">
        <v>222</v>
      </c>
      <c r="C131">
        <f>UsrOptoCTR</f>
        <v>0.1</v>
      </c>
    </row>
    <row r="132" spans="2:6" x14ac:dyDescent="0.2">
      <c r="B132" t="s">
        <v>223</v>
      </c>
      <c r="C132">
        <f>RFb</f>
        <v>10000</v>
      </c>
    </row>
    <row r="133" spans="2:6" x14ac:dyDescent="0.2">
      <c r="B133" t="s">
        <v>225</v>
      </c>
      <c r="C133">
        <f>(UsrVout-Tl431Ref)/Tl431I</f>
        <v>172000</v>
      </c>
      <c r="D133" s="6">
        <f>MATCH(ROUND(LOG10(BodeRa),0),UnitExpo,-1)</f>
        <v>5</v>
      </c>
      <c r="E133" s="6">
        <f ca="1">ROUND(BodeRa*1/OFFSET(Exa,D133,0),2)</f>
        <v>172</v>
      </c>
      <c r="F133" s="6" t="str">
        <f ca="1">OFFSET(UnitSymbolExa,D133,0)&amp;"Ω"</f>
        <v>kΩ</v>
      </c>
    </row>
    <row r="134" spans="2:6" x14ac:dyDescent="0.2">
      <c r="B134" t="s">
        <v>226</v>
      </c>
      <c r="C134">
        <f>Tl431Ref/Tl431I</f>
        <v>20000</v>
      </c>
      <c r="D134" s="6">
        <f>MATCH(ROUND(LOG10(BodeRb),0),UnitExpo,-1)</f>
        <v>5</v>
      </c>
      <c r="E134" s="6">
        <f ca="1">ROUND(BodeRb*1/OFFSET(Exa,D134,0),2)</f>
        <v>20</v>
      </c>
      <c r="F134" s="6" t="str">
        <f ca="1">OFFSET(UnitSymbolExa,D134,0)&amp;"Ω"</f>
        <v>kΩ</v>
      </c>
    </row>
    <row r="135" spans="2:6" x14ac:dyDescent="0.2">
      <c r="B135" t="s">
        <v>227</v>
      </c>
      <c r="C135">
        <f>(UsrVout-UsrOptoLed-Tl431Ref)/0.0015</f>
        <v>13333.333333333334</v>
      </c>
      <c r="D135" s="6">
        <f>MATCH(ROUND(LOG10(BodeRc3),0),UnitExpo,-1)</f>
        <v>5</v>
      </c>
      <c r="E135" s="6">
        <f ca="1">ROUND(BodeRc3*1/OFFSET(Exa,D135,0),2)</f>
        <v>13.33</v>
      </c>
      <c r="F135" s="6" t="str">
        <f ca="1">OFFSET(UnitSymbolExa,D135,0)&amp;"Ω"</f>
        <v>kΩ</v>
      </c>
    </row>
    <row r="136" spans="2:6" x14ac:dyDescent="0.2">
      <c r="B136" t="s">
        <v>228</v>
      </c>
      <c r="C136" s="3">
        <f>UsrOptoParaCap*CHOOSE(MATCH(SelBodeOptoCap,OptBodeCap,0),0.000001,0.000000001,0.000000000001)</f>
        <v>1.0000000000000001E-9</v>
      </c>
      <c r="D136" t="s">
        <v>233</v>
      </c>
    </row>
    <row r="137" spans="2:6" x14ac:dyDescent="0.2">
      <c r="B137" t="s">
        <v>229</v>
      </c>
      <c r="C137" s="3">
        <f>UsrIntCap*CHOOSE(MATCH(SelBodeIntCap,OptBodeCap,0),0.000001,0.000000001,0.000000000001)</f>
        <v>1.0000000000000001E-9</v>
      </c>
    </row>
    <row r="139" spans="2:6" x14ac:dyDescent="0.2">
      <c r="B139" t="s">
        <v>196</v>
      </c>
    </row>
    <row r="140" spans="2:6" x14ac:dyDescent="0.2">
      <c r="B140" t="s">
        <v>197</v>
      </c>
      <c r="C140">
        <f ca="1">(BodeN*BodeR*BodeGFb)/CalcRCs*POWER(POWER(1-BodeD,2)/BodeTauL*(1+2*(BodeSe/BodeSn))+(2*BodeM)+1,-1)</f>
        <v>69.486139019499433</v>
      </c>
    </row>
    <row r="141" spans="2:6" x14ac:dyDescent="0.2">
      <c r="B141" t="s">
        <v>198</v>
      </c>
      <c r="C141">
        <f ca="1" xml:space="preserve"> (POWER(1-BodeD,3)/BodeTauL * (1+2*BodeSe/BodeSn)+BodeD+1)/(BodeR*CalcCoutTrans)</f>
        <v>218.78185420017607</v>
      </c>
    </row>
    <row r="142" spans="2:6" x14ac:dyDescent="0.2">
      <c r="B142" t="s">
        <v>199</v>
      </c>
      <c r="C142">
        <f ca="1" xml:space="preserve"> 1/(BodeESR*CalcCoutTrans)</f>
        <v>74325.189474644721</v>
      </c>
    </row>
    <row r="143" spans="2:6" x14ac:dyDescent="0.2">
      <c r="B143" t="s">
        <v>200</v>
      </c>
      <c r="C143">
        <f ca="1">(POWER(1-BodeD,2)*POWER(BodeN,2)*BodeR)/(BodeD*UsedLm)</f>
        <v>141573.0578524743</v>
      </c>
      <c r="D143" t="s">
        <v>251</v>
      </c>
    </row>
    <row r="145" spans="2:3" x14ac:dyDescent="0.2">
      <c r="B145" t="s">
        <v>206</v>
      </c>
    </row>
    <row r="146" spans="2:3" x14ac:dyDescent="0.2">
      <c r="B146" t="s">
        <v>197</v>
      </c>
      <c r="C146">
        <f ca="1">UsrBodeVin*BodeGFb*SQRT((BodeFsw*BodeR)/(2*UsedLm))*POWER(BodeSe+BodeSn,-1)</f>
        <v>30.873410267617786</v>
      </c>
    </row>
    <row r="147" spans="2:3" x14ac:dyDescent="0.2">
      <c r="B147" t="s">
        <v>199</v>
      </c>
      <c r="C147">
        <f ca="1">1/(BodeESR*CalcCoutTrans)</f>
        <v>74325.189474644721</v>
      </c>
    </row>
    <row r="148" spans="2:3" x14ac:dyDescent="0.2">
      <c r="B148" t="s">
        <v>200</v>
      </c>
      <c r="C148">
        <f ca="1">(POWER(BodeN,2)*BodeR)/(BodeM*(1+BodeM)*UsedLm)</f>
        <v>270180.31722656864</v>
      </c>
    </row>
    <row r="149" spans="2:3" x14ac:dyDescent="0.2">
      <c r="B149" t="s">
        <v>198</v>
      </c>
      <c r="C149">
        <f ca="1">2/(BodeR*CalcCoutTrans)</f>
        <v>232.26621710826478</v>
      </c>
    </row>
    <row r="150" spans="2:3" x14ac:dyDescent="0.2">
      <c r="B150" t="s">
        <v>207</v>
      </c>
      <c r="C150">
        <f>2*BodeFsw*POWER((1/BodeD)/(1+1/BodeM),2)</f>
        <v>92289.900870366953</v>
      </c>
    </row>
    <row r="152" spans="2:3" x14ac:dyDescent="0.2">
      <c r="B152" t="s">
        <v>221</v>
      </c>
    </row>
    <row r="153" spans="2:3" x14ac:dyDescent="0.2">
      <c r="B153" t="s">
        <v>42</v>
      </c>
      <c r="C153">
        <f>BodeCTR*(BodeRFb/BodeRc3)*(1/(BodeCa*BodeRa))</f>
        <v>436.04651162790702</v>
      </c>
    </row>
    <row r="154" spans="2:3" x14ac:dyDescent="0.2">
      <c r="B154" t="s">
        <v>234</v>
      </c>
      <c r="C154">
        <f>1/(BodeCa*BodeRa)</f>
        <v>5813.9534883720926</v>
      </c>
    </row>
    <row r="155" spans="2:3" x14ac:dyDescent="0.2">
      <c r="B155" t="s">
        <v>235</v>
      </c>
      <c r="C155">
        <f>1/(BodeCb*BodeRFb)</f>
        <v>99999.999999999985</v>
      </c>
    </row>
  </sheetData>
  <sheetProtection algorithmName="SHA-512" hashValue="4JSzenU4CqFVD1YVxZtfzD5ckEA+3t2ydFHjeiD0tdV8j5R6s2CfB8mW0BSqFdKL4mFtM6qsoXekv4a1Y2I++w==" saltValue="C98d+auRqP11fiT6qmbMqg==" spinCount="100000" sheet="1" objects="1" scenarios="1"/>
  <mergeCells count="9">
    <mergeCell ref="B2:F2"/>
    <mergeCell ref="B119:F119"/>
    <mergeCell ref="B104:F104"/>
    <mergeCell ref="B88:F88"/>
    <mergeCell ref="B5:F5"/>
    <mergeCell ref="B13:F13"/>
    <mergeCell ref="B49:F49"/>
    <mergeCell ref="B71:F71"/>
    <mergeCell ref="B75:F7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16A0C-A747-4C75-8C35-5D13D28343AE}">
  <sheetPr codeName="Sheet5"/>
  <dimension ref="A1:AF381"/>
  <sheetViews>
    <sheetView topLeftCell="H1" workbookViewId="0">
      <selection activeCell="AD6" sqref="AD6"/>
    </sheetView>
  </sheetViews>
  <sheetFormatPr baseColWidth="10" defaultColWidth="8.83203125" defaultRowHeight="15" x14ac:dyDescent="0.2"/>
  <cols>
    <col min="3" max="3" width="22.5" bestFit="1" customWidth="1"/>
    <col min="4" max="4" width="16.6640625" bestFit="1" customWidth="1"/>
    <col min="7" max="7" width="16.5" bestFit="1" customWidth="1"/>
    <col min="8" max="8" width="20.83203125" bestFit="1" customWidth="1"/>
    <col min="27" max="28" width="10.6640625" bestFit="1" customWidth="1"/>
    <col min="30" max="30" width="19.33203125" bestFit="1" customWidth="1"/>
    <col min="31" max="31" width="18" bestFit="1" customWidth="1"/>
  </cols>
  <sheetData>
    <row r="1" spans="1:32" x14ac:dyDescent="0.2">
      <c r="A1" t="s">
        <v>201</v>
      </c>
      <c r="B1" t="s">
        <v>204</v>
      </c>
      <c r="C1" t="s">
        <v>209</v>
      </c>
      <c r="D1" t="s">
        <v>210</v>
      </c>
      <c r="E1" t="s">
        <v>211</v>
      </c>
      <c r="F1" t="s">
        <v>212</v>
      </c>
      <c r="G1" t="s">
        <v>202</v>
      </c>
      <c r="H1" t="s">
        <v>205</v>
      </c>
      <c r="I1" t="s">
        <v>213</v>
      </c>
      <c r="K1" t="s">
        <v>215</v>
      </c>
      <c r="L1" t="s">
        <v>216</v>
      </c>
      <c r="M1" t="s">
        <v>214</v>
      </c>
      <c r="N1" t="s">
        <v>217</v>
      </c>
      <c r="O1" t="s">
        <v>218</v>
      </c>
      <c r="P1" t="s">
        <v>202</v>
      </c>
      <c r="Q1" t="s">
        <v>219</v>
      </c>
      <c r="R1" t="s">
        <v>220</v>
      </c>
      <c r="T1" t="s">
        <v>236</v>
      </c>
      <c r="U1" t="s">
        <v>237</v>
      </c>
      <c r="V1" t="s">
        <v>42</v>
      </c>
      <c r="W1" t="s">
        <v>202</v>
      </c>
      <c r="X1" t="s">
        <v>239</v>
      </c>
      <c r="Y1" t="s">
        <v>203</v>
      </c>
      <c r="Z1" t="s">
        <v>244</v>
      </c>
      <c r="AA1" t="s">
        <v>238</v>
      </c>
      <c r="AB1" t="s">
        <v>240</v>
      </c>
      <c r="AD1" t="s">
        <v>241</v>
      </c>
      <c r="AE1" t="s">
        <v>242</v>
      </c>
    </row>
    <row r="2" spans="1:32" x14ac:dyDescent="0.2">
      <c r="A2">
        <v>1</v>
      </c>
      <c r="B2" t="str">
        <f>COMPLEX(0,A2)</f>
        <v>i</v>
      </c>
      <c r="C2" t="str">
        <f t="shared" ref="C2:C65" ca="1" si="0">IMSUM(1,IMDIV(B2,CcmWz1))</f>
        <v>1+0.0000134543888427104i</v>
      </c>
      <c r="D2" t="str">
        <f t="shared" ref="D2:D65" ca="1" si="1">IMSUM(1,IMDIV(B2,CcmWz2))</f>
        <v>1+7.06349085884721E-06i</v>
      </c>
      <c r="E2" t="str">
        <f t="shared" ref="E2:E65" ca="1" si="2">IMSUM(1,IMDIV(B2,CcmWp1))</f>
        <v>1+0.00457076298057627i</v>
      </c>
      <c r="F2">
        <f t="shared" ref="F2:F65" ca="1" si="3">CcmGo</f>
        <v>69.486139019499433</v>
      </c>
      <c r="G2" t="str">
        <f ca="1">IMDIV(IMPRODUCT(F2,C2,D2),E2)</f>
        <v>69.4846938639855-0.316172358188852i</v>
      </c>
      <c r="H2">
        <f ca="1">20*LOG(IMABS(G2),10)</f>
        <v>36.837872887334846</v>
      </c>
      <c r="I2">
        <f ca="1">IMARGUMENT(G2)*180/PI()</f>
        <v>-0.26070801629397372</v>
      </c>
      <c r="K2" t="str">
        <f t="shared" ref="K2:K65" ca="1" si="4">IMSUM(1,IMDIV(B2,DcmWz1))</f>
        <v>1+0.0000134543888427104i</v>
      </c>
      <c r="L2" t="str">
        <f t="shared" ref="L2:L65" ca="1" si="5">IMSUB(1,IMDIV($B2,DcmWz2))</f>
        <v>1-3.70123186716602E-06i</v>
      </c>
      <c r="M2" t="str">
        <f t="shared" ref="M2:M65" ca="1" si="6">IMSUM(1,IMDIV($B2,DcmWp1))</f>
        <v>1+0.00430540442966734i</v>
      </c>
      <c r="N2" t="str">
        <f t="shared" ref="N2:N65" si="7">IMSUM(1,IMDIV($B2,DcmWp2))</f>
        <v>1+0.0000108354217587104i</v>
      </c>
      <c r="O2">
        <f t="shared" ref="O2:O65" ca="1" si="8">DcmGo</f>
        <v>30.873410267617786</v>
      </c>
      <c r="P2" t="str">
        <f ca="1">IMDIV(IMPRODUCT(O2,K2,L2,),IMPRODUCT(M2,N2,))</f>
        <v>30.8728378503515-0.132953466041987i</v>
      </c>
      <c r="Q2">
        <f ca="1">20*LOG(IMABS(P2),10)</f>
        <v>29.791611581447583</v>
      </c>
      <c r="R2">
        <f ca="1">IMARGUMENT(P2)*180/PI()</f>
        <v>-0.24674198793373947</v>
      </c>
      <c r="T2" t="str">
        <f t="shared" ref="T2:T65" si="9">IMSUM(1,IMPRODUCT($B2,1/CompWz1))</f>
        <v>1+0.000172i</v>
      </c>
      <c r="U2" t="str">
        <f t="shared" ref="U2:U65" si="10">IMSUM(1,IMPRODUCT($B2,1/CompWp1))</f>
        <v>1+0.00001i</v>
      </c>
      <c r="V2" t="str">
        <f t="shared" ref="V2:V65" si="11">IMDIV(CompA,$B2)</f>
        <v>-436.046511627907i</v>
      </c>
      <c r="W2" t="str">
        <f>IMDIV(IMPRODUCT(V2,T2),U2)</f>
        <v>0.070639534876657-436.046512334302i</v>
      </c>
      <c r="X2">
        <f>20*LOG(IMABS(W2),10)</f>
        <v>52.790656457730393</v>
      </c>
      <c r="Y2">
        <f>IMARGUMENT(W2)*180/PI()</f>
        <v>-89.990718083816049</v>
      </c>
      <c r="Z2">
        <f>A2/(2*PI())</f>
        <v>0.15915494309189535</v>
      </c>
      <c r="AA2">
        <f t="shared" ref="AA2:AA65" ca="1" si="12">IF(IsDcmBode, X2+Q2,X2+H2)</f>
        <v>89.628529345065232</v>
      </c>
      <c r="AB2">
        <f t="shared" ref="AB2:AB65" ca="1" si="13">IF(IsDcmBode, Y2+R2,Y2+I2)</f>
        <v>-90.251426100110024</v>
      </c>
      <c r="AD2">
        <f t="array" aca="1" ref="AD2" ca="1">INDEX(AA2:AA381,MATCH(MIN(ABS(AA2:AA381)),ABS(AA2:AA381),0))</f>
        <v>-1.8374515139694125E-3</v>
      </c>
    </row>
    <row r="3" spans="1:32" x14ac:dyDescent="0.2">
      <c r="A3">
        <v>10</v>
      </c>
      <c r="B3" t="str">
        <f t="shared" ref="B3:B66" si="14">COMPLEX(0,A3)</f>
        <v>10i</v>
      </c>
      <c r="C3" t="str">
        <f t="shared" ca="1" si="0"/>
        <v>1+0.000134543888427104i</v>
      </c>
      <c r="D3" t="str">
        <f t="shared" ca="1" si="1"/>
        <v>1+0.0000706349085884721i</v>
      </c>
      <c r="E3" t="str">
        <f t="shared" ca="1" si="2"/>
        <v>1+0.0457076298057627i</v>
      </c>
      <c r="F3">
        <f t="shared" ca="1" si="3"/>
        <v>69.486139019499433</v>
      </c>
      <c r="G3" t="str">
        <f t="shared" ref="G3:G66" ca="1" si="15">IMDIV(IMPRODUCT(F3,C3,D3),E3)</f>
        <v>69.3419217458226-3.15519780676495i</v>
      </c>
      <c r="H3">
        <f t="shared" ref="H3:H66" ca="1" si="16">20*LOG(IMABS(G3),10)</f>
        <v>36.828899956887732</v>
      </c>
      <c r="I3">
        <f t="shared" ref="I3:I66" ca="1" si="17">IMARGUMENT(G3)*180/PI()</f>
        <v>-2.6052769239134763</v>
      </c>
      <c r="K3" t="str">
        <f t="shared" ca="1" si="4"/>
        <v>1+0.000134543888427104i</v>
      </c>
      <c r="L3" t="str">
        <f t="shared" ca="1" si="5"/>
        <v>1-0.0000370123186716602i</v>
      </c>
      <c r="M3" t="str">
        <f t="shared" ca="1" si="6"/>
        <v>1+0.0430540442966734i</v>
      </c>
      <c r="N3" t="str">
        <f t="shared" si="7"/>
        <v>1+0.000108354217587104i</v>
      </c>
      <c r="O3">
        <f t="shared" ca="1" si="8"/>
        <v>30.873410267617786</v>
      </c>
      <c r="P3" t="str">
        <f t="shared" ref="P3:P17" ca="1" si="18">IMDIV(IMPRODUCT(O3,K3,L3,),IMPRODUCT(M3,N3,))</f>
        <v>30.8162733917418-1.32709933172587i</v>
      </c>
      <c r="Q3">
        <f t="shared" ref="Q3:Q66" ca="1" si="19">20*LOG(IMABS(P3),10)</f>
        <v>29.7836492661527</v>
      </c>
      <c r="R3">
        <f t="shared" ref="R3:R17" ca="1" si="20">IMARGUMENT(P3)*180/PI()</f>
        <v>-2.4659126097047688</v>
      </c>
      <c r="T3" t="str">
        <f t="shared" si="9"/>
        <v>1+0.00172i</v>
      </c>
      <c r="U3" t="str">
        <f t="shared" si="10"/>
        <v>1+0.0001i</v>
      </c>
      <c r="V3" t="str">
        <f t="shared" si="11"/>
        <v>-43.6046511627907i</v>
      </c>
      <c r="W3" t="str">
        <f t="shared" ref="W3:W66" si="21">IMDIV(IMPRODUCT(V3,T3),U3)</f>
        <v>0.0706395341773256-43.6046582267441i</v>
      </c>
      <c r="X3">
        <f t="shared" ref="X3:X66" si="22">20*LOG(IMABS(W3),10)</f>
        <v>32.790669134402521</v>
      </c>
      <c r="Y3">
        <f t="shared" ref="Y3:Y66" si="23">IMARGUMENT(W3)*180/PI()</f>
        <v>-89.907180934351743</v>
      </c>
      <c r="Z3">
        <f t="shared" ref="Z3:Z66" si="24">A3/(2*PI())</f>
        <v>1.5915494309189535</v>
      </c>
      <c r="AA3">
        <f t="shared" ca="1" si="12"/>
        <v>69.619569091290259</v>
      </c>
      <c r="AB3">
        <f t="shared" ca="1" si="13"/>
        <v>-92.512457858265222</v>
      </c>
      <c r="AD3">
        <f t="array" aca="1" ref="AD3" ca="1">MATCH(MIN(ABS(AA2:AA381)),ABS(AA2:AA381),0)</f>
        <v>37</v>
      </c>
      <c r="AE3">
        <f t="array" aca="1" ref="AE3" ca="1">MATCH(TRUE,AA2:AA381&lt;=0,0)</f>
        <v>37</v>
      </c>
    </row>
    <row r="4" spans="1:32" x14ac:dyDescent="0.2">
      <c r="A4">
        <v>20</v>
      </c>
      <c r="B4" t="str">
        <f t="shared" si="14"/>
        <v>20i</v>
      </c>
      <c r="C4" t="str">
        <f t="shared" ca="1" si="0"/>
        <v>1+0.000269087776854209i</v>
      </c>
      <c r="D4" t="str">
        <f t="shared" ca="1" si="1"/>
        <v>1+0.000141269817176944i</v>
      </c>
      <c r="E4" t="str">
        <f t="shared" ca="1" si="2"/>
        <v>1+0.0914152596115254i</v>
      </c>
      <c r="F4">
        <f t="shared" ca="1" si="3"/>
        <v>69.486139019499433</v>
      </c>
      <c r="G4" t="str">
        <f t="shared" ca="1" si="15"/>
        <v>68.9128555238102-6.27117241345409i</v>
      </c>
      <c r="H4">
        <f t="shared" ca="1" si="16"/>
        <v>36.801821921779933</v>
      </c>
      <c r="I4">
        <f t="shared" ca="1" si="17"/>
        <v>-5.1996794494054095</v>
      </c>
      <c r="K4" t="str">
        <f t="shared" ca="1" si="4"/>
        <v>1+0.000269087776854209i</v>
      </c>
      <c r="L4" t="str">
        <f t="shared" ca="1" si="5"/>
        <v>1-0.0000740246373433204i</v>
      </c>
      <c r="M4" t="str">
        <f t="shared" ca="1" si="6"/>
        <v>1+0.0861080885933469i</v>
      </c>
      <c r="N4" t="str">
        <f t="shared" si="7"/>
        <v>1+0.000216708435174208i</v>
      </c>
      <c r="O4">
        <f t="shared" ca="1" si="8"/>
        <v>30.873410267617786</v>
      </c>
      <c r="P4" t="str">
        <f t="shared" ca="1" si="18"/>
        <v>30.6461243516767-2.63954745491217i</v>
      </c>
      <c r="Q4">
        <f t="shared" ca="1" si="19"/>
        <v>29.759609799117747</v>
      </c>
      <c r="R4">
        <f t="shared" ca="1" si="20"/>
        <v>-4.9227305675779442</v>
      </c>
      <c r="T4" t="str">
        <f t="shared" si="9"/>
        <v>1+0.00344i</v>
      </c>
      <c r="U4" t="str">
        <f t="shared" si="10"/>
        <v>1+0.0002i</v>
      </c>
      <c r="V4" t="str">
        <f t="shared" si="11"/>
        <v>-21.8023255813954i</v>
      </c>
      <c r="W4" t="str">
        <f t="shared" si="21"/>
        <v>0.0706395320581398-21.8023397093018i</v>
      </c>
      <c r="X4">
        <f t="shared" si="22"/>
        <v>26.770107635053357</v>
      </c>
      <c r="Y4">
        <f t="shared" si="23"/>
        <v>-89.814362451676899</v>
      </c>
      <c r="Z4">
        <f t="shared" si="24"/>
        <v>3.183098861837907</v>
      </c>
      <c r="AA4">
        <f t="shared" ca="1" si="12"/>
        <v>63.57192955683329</v>
      </c>
      <c r="AB4">
        <f t="shared" ca="1" si="13"/>
        <v>-95.014041901082308</v>
      </c>
      <c r="AD4">
        <f ca="1">OFFSET(A1,AD3,0)</f>
        <v>2700</v>
      </c>
      <c r="AE4">
        <f ca="1">OFFSET(A1,AE3,0)</f>
        <v>2700</v>
      </c>
    </row>
    <row r="5" spans="1:32" x14ac:dyDescent="0.2">
      <c r="A5">
        <v>30</v>
      </c>
      <c r="B5" t="str">
        <f t="shared" si="14"/>
        <v>30i</v>
      </c>
      <c r="C5" t="str">
        <f t="shared" ca="1" si="0"/>
        <v>1+0.000403631665281313i</v>
      </c>
      <c r="D5" t="str">
        <f t="shared" ca="1" si="1"/>
        <v>1+0.000211904725765416i</v>
      </c>
      <c r="E5" t="str">
        <f t="shared" ca="1" si="2"/>
        <v>1+0.137122889417288i</v>
      </c>
      <c r="F5">
        <f t="shared" ca="1" si="3"/>
        <v>69.486139019499433</v>
      </c>
      <c r="G5" t="str">
        <f t="shared" ca="1" si="15"/>
        <v>68.2094765684003-9.31030926546002i</v>
      </c>
      <c r="H5">
        <f t="shared" ca="1" si="16"/>
        <v>36.757063703989274</v>
      </c>
      <c r="I5">
        <f t="shared" ca="1" si="17"/>
        <v>-7.7726018755188226</v>
      </c>
      <c r="K5" t="str">
        <f t="shared" ca="1" si="4"/>
        <v>1+0.000403631665281313i</v>
      </c>
      <c r="L5" t="str">
        <f t="shared" ca="1" si="5"/>
        <v>1-0.000111036956014981i</v>
      </c>
      <c r="M5" t="str">
        <f t="shared" ca="1" si="6"/>
        <v>1+0.12916213289002i</v>
      </c>
      <c r="N5" t="str">
        <f t="shared" si="7"/>
        <v>1+0.000325062652761312i</v>
      </c>
      <c r="O5">
        <f t="shared" ca="1" si="8"/>
        <v>30.873410267617786</v>
      </c>
      <c r="P5" t="str">
        <f t="shared" ca="1" si="18"/>
        <v>30.3666789050319-3.92322741264423i</v>
      </c>
      <c r="Q5">
        <f t="shared" ca="1" si="19"/>
        <v>29.719837380649299</v>
      </c>
      <c r="R5">
        <f t="shared" ca="1" si="20"/>
        <v>-7.3615589319496957</v>
      </c>
      <c r="T5" t="str">
        <f t="shared" si="9"/>
        <v>1+0.00516i</v>
      </c>
      <c r="U5" t="str">
        <f t="shared" si="10"/>
        <v>1+0.0003i</v>
      </c>
      <c r="V5" t="str">
        <f t="shared" si="11"/>
        <v>-14.5348837209302i</v>
      </c>
      <c r="W5" t="str">
        <f t="shared" si="21"/>
        <v>0.0706395285261632-14.5349049127888i</v>
      </c>
      <c r="X5">
        <f t="shared" si="22"/>
        <v>23.248346476396957</v>
      </c>
      <c r="Y5">
        <f t="shared" si="23"/>
        <v>-89.721545134928206</v>
      </c>
      <c r="Z5">
        <f t="shared" si="24"/>
        <v>4.7746482927568605</v>
      </c>
      <c r="AA5">
        <f t="shared" ca="1" si="12"/>
        <v>60.005410180386235</v>
      </c>
      <c r="AB5">
        <f t="shared" ca="1" si="13"/>
        <v>-97.494147010447023</v>
      </c>
      <c r="AD5">
        <f ca="1">AE4/(2*PI())</f>
        <v>429.71834634811745</v>
      </c>
      <c r="AE5" t="s">
        <v>35</v>
      </c>
      <c r="AF5" t="str">
        <f ca="1">_xlfn.CONCAT("Crossover Frequency: ", ROUND(CrossoverFreq,2), " Hz")</f>
        <v>Crossover Frequency: 429.72 Hz</v>
      </c>
    </row>
    <row r="6" spans="1:32" x14ac:dyDescent="0.2">
      <c r="A6">
        <v>40</v>
      </c>
      <c r="B6" t="str">
        <f t="shared" si="14"/>
        <v>40i</v>
      </c>
      <c r="C6" t="str">
        <f t="shared" ca="1" si="0"/>
        <v>1+0.000538175553708418i</v>
      </c>
      <c r="D6" t="str">
        <f t="shared" ca="1" si="1"/>
        <v>1+0.000282539634353889i</v>
      </c>
      <c r="E6" t="str">
        <f t="shared" ca="1" si="2"/>
        <v>1+0.182830519223051i</v>
      </c>
      <c r="F6">
        <f t="shared" ca="1" si="3"/>
        <v>69.486139019499433</v>
      </c>
      <c r="G6" t="str">
        <f t="shared" ca="1" si="15"/>
        <v>67.2486349362576-12.2380745127843i</v>
      </c>
      <c r="H6">
        <f t="shared" ca="1" si="16"/>
        <v>36.695167187167108</v>
      </c>
      <c r="I6">
        <f t="shared" ca="1" si="17"/>
        <v>-10.31395951142035</v>
      </c>
      <c r="K6" t="str">
        <f t="shared" ca="1" si="4"/>
        <v>1+0.000538175553708418i</v>
      </c>
      <c r="L6" t="str">
        <f t="shared" ca="1" si="5"/>
        <v>1-0.000148049274686641i</v>
      </c>
      <c r="M6" t="str">
        <f t="shared" ca="1" si="6"/>
        <v>1+0.172216177186694i</v>
      </c>
      <c r="N6" t="str">
        <f t="shared" si="7"/>
        <v>1+0.000433416870348416i</v>
      </c>
      <c r="O6">
        <f t="shared" ca="1" si="8"/>
        <v>30.873410267617786</v>
      </c>
      <c r="P6" t="str">
        <f t="shared" ca="1" si="18"/>
        <v>29.9839069209338-5.1650503560467i</v>
      </c>
      <c r="Q6">
        <f t="shared" ca="1" si="19"/>
        <v>29.664760902940554</v>
      </c>
      <c r="R6">
        <f t="shared" ca="1" si="20"/>
        <v>-9.7738913433279002</v>
      </c>
      <c r="T6" t="str">
        <f t="shared" si="9"/>
        <v>1+0.00688i</v>
      </c>
      <c r="U6" t="str">
        <f t="shared" si="10"/>
        <v>1+0.0004i</v>
      </c>
      <c r="V6" t="str">
        <f t="shared" si="11"/>
        <v>-10.9011627906977i</v>
      </c>
      <c r="W6" t="str">
        <f t="shared" si="21"/>
        <v>0.0706395235813974-10.9011910465071i</v>
      </c>
      <c r="X6">
        <f t="shared" si="22"/>
        <v>20.749661374074762</v>
      </c>
      <c r="Y6">
        <f t="shared" si="23"/>
        <v>-89.628729567016975</v>
      </c>
      <c r="Z6">
        <f t="shared" si="24"/>
        <v>6.366197723675814</v>
      </c>
      <c r="AA6">
        <f t="shared" ca="1" si="12"/>
        <v>57.44482856124187</v>
      </c>
      <c r="AB6">
        <f t="shared" ca="1" si="13"/>
        <v>-99.942689078437326</v>
      </c>
      <c r="AD6">
        <f ca="1">IF(OFFSET(AB2,AE3,0) &lt;= 0, 180+OFFSET(AB2,AE3,0), 180-OFFSET(AB2,AE3,0))</f>
        <v>31.869888536725512</v>
      </c>
      <c r="AE6" t="s">
        <v>243</v>
      </c>
      <c r="AF6" t="str">
        <f ca="1">_xlfn.CONCAT("Phase Margin: ", ROUND(PhaseMargin,2), " deg")</f>
        <v>Phase Margin: 31.87 deg</v>
      </c>
    </row>
    <row r="7" spans="1:32" x14ac:dyDescent="0.2">
      <c r="A7">
        <v>50</v>
      </c>
      <c r="B7" t="str">
        <f t="shared" si="14"/>
        <v>50i</v>
      </c>
      <c r="C7" t="str">
        <f t="shared" ca="1" si="0"/>
        <v>1+0.000672719442135522i</v>
      </c>
      <c r="D7" t="str">
        <f t="shared" ca="1" si="1"/>
        <v>1+0.000353174542942361i</v>
      </c>
      <c r="E7" t="str">
        <f t="shared" ca="1" si="2"/>
        <v>1+0.228538149028814i</v>
      </c>
      <c r="F7">
        <f t="shared" ca="1" si="3"/>
        <v>69.486139019499433</v>
      </c>
      <c r="G7" t="str">
        <f t="shared" ca="1" si="15"/>
        <v>66.0525120135785-15.0242334222203i</v>
      </c>
      <c r="H7">
        <f t="shared" ca="1" si="16"/>
        <v>36.616860625015107</v>
      </c>
      <c r="I7">
        <f t="shared" ca="1" si="17"/>
        <v>-12.814410053455966</v>
      </c>
      <c r="K7" t="str">
        <f t="shared" ca="1" si="4"/>
        <v>1+0.000672719442135522i</v>
      </c>
      <c r="L7" t="str">
        <f t="shared" ca="1" si="5"/>
        <v>1-0.000185061593358301i</v>
      </c>
      <c r="M7" t="str">
        <f t="shared" ca="1" si="6"/>
        <v>1+0.215270221483367i</v>
      </c>
      <c r="N7" t="str">
        <f t="shared" si="7"/>
        <v>1+0.00054177108793552i</v>
      </c>
      <c r="O7">
        <f t="shared" ca="1" si="8"/>
        <v>30.873410267617786</v>
      </c>
      <c r="P7" t="str">
        <f t="shared" ca="1" si="18"/>
        <v>29.5057210289955-6.35337376276372i</v>
      </c>
      <c r="Q7">
        <f t="shared" ca="1" si="19"/>
        <v>29.594959378182022</v>
      </c>
      <c r="R7">
        <f t="shared" ca="1" si="20"/>
        <v>-12.151778301770976</v>
      </c>
      <c r="T7" t="str">
        <f t="shared" si="9"/>
        <v>1+0.0086i</v>
      </c>
      <c r="U7" t="str">
        <f t="shared" si="10"/>
        <v>1+0.0005i</v>
      </c>
      <c r="V7" t="str">
        <f t="shared" si="11"/>
        <v>-8.72093023255814i</v>
      </c>
      <c r="W7" t="str">
        <f t="shared" si="21"/>
        <v>0.0706395172238416-8.72096555231675i</v>
      </c>
      <c r="X7">
        <f t="shared" si="22"/>
        <v>18.811576349547842</v>
      </c>
      <c r="Y7">
        <f t="shared" si="23"/>
        <v>-89.535916330792446</v>
      </c>
      <c r="Z7">
        <f t="shared" si="24"/>
        <v>7.9577471545947667</v>
      </c>
      <c r="AA7">
        <f t="shared" ca="1" si="12"/>
        <v>55.428436974562949</v>
      </c>
      <c r="AB7">
        <f t="shared" ca="1" si="13"/>
        <v>-102.3503263842484</v>
      </c>
    </row>
    <row r="8" spans="1:32" x14ac:dyDescent="0.2">
      <c r="A8">
        <v>60</v>
      </c>
      <c r="B8" t="str">
        <f t="shared" si="14"/>
        <v>60i</v>
      </c>
      <c r="C8" t="str">
        <f t="shared" ca="1" si="0"/>
        <v>1+0.000807263330562627i</v>
      </c>
      <c r="D8" t="str">
        <f t="shared" ca="1" si="1"/>
        <v>1+0.000423809451530833i</v>
      </c>
      <c r="E8" t="str">
        <f t="shared" ca="1" si="2"/>
        <v>1+0.274245778834576i</v>
      </c>
      <c r="F8">
        <f t="shared" ca="1" si="3"/>
        <v>69.486139019499433</v>
      </c>
      <c r="G8" t="str">
        <f t="shared" ca="1" si="15"/>
        <v>64.6473959593283-17.6437329600135i</v>
      </c>
      <c r="H8">
        <f t="shared" ca="1" si="16"/>
        <v>36.52303126090515</v>
      </c>
      <c r="I8">
        <f t="shared" ca="1" si="17"/>
        <v>-15.265532820562402</v>
      </c>
      <c r="K8" t="str">
        <f t="shared" ca="1" si="4"/>
        <v>1+0.000807263330562627i</v>
      </c>
      <c r="L8" t="str">
        <f t="shared" ca="1" si="5"/>
        <v>1-0.000222073912029961i</v>
      </c>
      <c r="M8" t="str">
        <f t="shared" ca="1" si="6"/>
        <v>1+0.258324265780041i</v>
      </c>
      <c r="N8" t="str">
        <f t="shared" si="7"/>
        <v>1+0.000650125305522624i</v>
      </c>
      <c r="O8">
        <f t="shared" ca="1" si="8"/>
        <v>30.873410267617786</v>
      </c>
      <c r="P8" t="str">
        <f t="shared" ca="1" si="18"/>
        <v>28.9415834678626-7.47831809487846i</v>
      </c>
      <c r="Q8">
        <f t="shared" ca="1" si="19"/>
        <v>29.511142394650882</v>
      </c>
      <c r="R8">
        <f t="shared" ca="1" si="20"/>
        <v>-14.487967086064016</v>
      </c>
      <c r="T8" t="str">
        <f t="shared" si="9"/>
        <v>1+0.01032i</v>
      </c>
      <c r="U8" t="str">
        <f t="shared" si="10"/>
        <v>1+0.0006i</v>
      </c>
      <c r="V8" t="str">
        <f t="shared" si="11"/>
        <v>-7.26744186046512i</v>
      </c>
      <c r="W8" t="str">
        <f t="shared" si="21"/>
        <v>0.0706395094534975-7.26748424417079i</v>
      </c>
      <c r="X8">
        <f t="shared" si="22"/>
        <v>17.228092267967845</v>
      </c>
      <c r="Y8">
        <f t="shared" si="23"/>
        <v>-89.443106009021093</v>
      </c>
      <c r="Z8">
        <f t="shared" si="24"/>
        <v>9.5492965855137211</v>
      </c>
      <c r="AA8">
        <f t="shared" ca="1" si="12"/>
        <v>53.751123528872995</v>
      </c>
      <c r="AB8">
        <f t="shared" ca="1" si="13"/>
        <v>-104.70863882958349</v>
      </c>
    </row>
    <row r="9" spans="1:32" x14ac:dyDescent="0.2">
      <c r="A9">
        <v>70</v>
      </c>
      <c r="B9" t="str">
        <f t="shared" si="14"/>
        <v>70i</v>
      </c>
      <c r="C9" t="str">
        <f t="shared" ca="1" si="0"/>
        <v>1+0.000941807218989731i</v>
      </c>
      <c r="D9" t="str">
        <f t="shared" ca="1" si="1"/>
        <v>1+0.000494444360119305i</v>
      </c>
      <c r="E9" t="str">
        <f t="shared" ca="1" si="2"/>
        <v>1+0.319953408640339i</v>
      </c>
      <c r="F9">
        <f t="shared" ca="1" si="3"/>
        <v>69.486139019499433</v>
      </c>
      <c r="G9" t="str">
        <f t="shared" ca="1" si="15"/>
        <v>63.062335052679-20.0772094800308i</v>
      </c>
      <c r="H9">
        <f t="shared" ca="1" si="16"/>
        <v>36.41469394992442</v>
      </c>
      <c r="I9">
        <f t="shared" ca="1" si="17"/>
        <v>-17.659958932576718</v>
      </c>
      <c r="K9" t="str">
        <f t="shared" ca="1" si="4"/>
        <v>1+0.000941807218989731i</v>
      </c>
      <c r="L9" t="str">
        <f t="shared" ca="1" si="5"/>
        <v>1-0.000259086230701621i</v>
      </c>
      <c r="M9" t="str">
        <f t="shared" ca="1" si="6"/>
        <v>1+0.301378310076714i</v>
      </c>
      <c r="N9" t="str">
        <f t="shared" si="7"/>
        <v>1+0.000758479523109728i</v>
      </c>
      <c r="O9">
        <f t="shared" ca="1" si="8"/>
        <v>30.873410267617786</v>
      </c>
      <c r="P9" t="str">
        <f t="shared" ca="1" si="18"/>
        <v>28.3020660040561-8.53196775267724i</v>
      </c>
      <c r="Q9">
        <f t="shared" ca="1" si="19"/>
        <v>29.414127430725223</v>
      </c>
      <c r="R9">
        <f t="shared" ca="1" si="20"/>
        <v>-16.776008153187313</v>
      </c>
      <c r="T9" t="str">
        <f t="shared" si="9"/>
        <v>1+0.01204i</v>
      </c>
      <c r="U9" t="str">
        <f t="shared" si="10"/>
        <v>1+0.0007i</v>
      </c>
      <c r="V9" t="str">
        <f t="shared" si="11"/>
        <v>-6.22923588039867i</v>
      </c>
      <c r="W9" t="str">
        <f t="shared" si="21"/>
        <v>0.0706395002703658-6.22928532804886i</v>
      </c>
      <c r="X9">
        <f t="shared" si="22"/>
        <v>15.889322915958504</v>
      </c>
      <c r="Y9">
        <f t="shared" si="23"/>
        <v>-89.350299184365866</v>
      </c>
      <c r="Z9">
        <f t="shared" si="24"/>
        <v>11.140846016432674</v>
      </c>
      <c r="AA9">
        <f t="shared" ca="1" si="12"/>
        <v>52.304016865882922</v>
      </c>
      <c r="AB9">
        <f t="shared" ca="1" si="13"/>
        <v>-107.01025811694258</v>
      </c>
    </row>
    <row r="10" spans="1:32" x14ac:dyDescent="0.2">
      <c r="A10">
        <v>80</v>
      </c>
      <c r="B10" t="str">
        <f t="shared" si="14"/>
        <v>80i</v>
      </c>
      <c r="C10" t="str">
        <f t="shared" ca="1" si="0"/>
        <v>1+0.00107635110741684i</v>
      </c>
      <c r="D10" t="str">
        <f t="shared" ca="1" si="1"/>
        <v>1+0.000565079268707777i</v>
      </c>
      <c r="E10" t="str">
        <f t="shared" ca="1" si="2"/>
        <v>1+0.365661038446102i</v>
      </c>
      <c r="F10">
        <f t="shared" ca="1" si="3"/>
        <v>69.486139019499433</v>
      </c>
      <c r="G10" t="str">
        <f t="shared" ca="1" si="15"/>
        <v>61.3277873466598-22.3111257474751i</v>
      </c>
      <c r="H10">
        <f t="shared" ca="1" si="16"/>
        <v>36.292957942428245</v>
      </c>
      <c r="I10">
        <f t="shared" ca="1" si="17"/>
        <v>-19.991450081376883</v>
      </c>
      <c r="K10" t="str">
        <f t="shared" ca="1" si="4"/>
        <v>1+0.00107635110741684i</v>
      </c>
      <c r="L10" t="str">
        <f t="shared" ca="1" si="5"/>
        <v>1-0.000296098549373282i</v>
      </c>
      <c r="M10" t="str">
        <f t="shared" ca="1" si="6"/>
        <v>1+0.344432354373387i</v>
      </c>
      <c r="N10" t="str">
        <f t="shared" si="7"/>
        <v>1+0.000866833740696832i</v>
      </c>
      <c r="O10">
        <f t="shared" ca="1" si="8"/>
        <v>30.873410267617786</v>
      </c>
      <c r="P10" t="str">
        <f t="shared" ca="1" si="18"/>
        <v>27.5983984485937-9.50845441747818i</v>
      </c>
      <c r="Q10">
        <f t="shared" ca="1" si="19"/>
        <v>29.304815451473964</v>
      </c>
      <c r="R10">
        <f t="shared" ca="1" si="20"/>
        <v>-19.01032569900639</v>
      </c>
      <c r="T10" t="str">
        <f t="shared" si="9"/>
        <v>1+0.01376i</v>
      </c>
      <c r="U10" t="str">
        <f t="shared" si="10"/>
        <v>1+0.0008i</v>
      </c>
      <c r="V10" t="str">
        <f t="shared" si="11"/>
        <v>-5.45058139534884i</v>
      </c>
      <c r="W10" t="str">
        <f t="shared" si="21"/>
        <v>0.0706394896744475-5.45063790694058i</v>
      </c>
      <c r="X10">
        <f t="shared" si="22"/>
        <v>14.729676015274631</v>
      </c>
      <c r="Y10">
        <f t="shared" si="23"/>
        <v>-89.257496439365696</v>
      </c>
      <c r="Z10">
        <f t="shared" si="24"/>
        <v>12.732395447351628</v>
      </c>
      <c r="AA10">
        <f t="shared" ca="1" si="12"/>
        <v>51.02263395770288</v>
      </c>
      <c r="AB10">
        <f t="shared" ca="1" si="13"/>
        <v>-109.24894652074258</v>
      </c>
    </row>
    <row r="11" spans="1:32" x14ac:dyDescent="0.2">
      <c r="A11">
        <v>90</v>
      </c>
      <c r="B11" t="str">
        <f t="shared" si="14"/>
        <v>90i</v>
      </c>
      <c r="C11" t="str">
        <f t="shared" ca="1" si="0"/>
        <v>1+0.00121089499584394i</v>
      </c>
      <c r="D11" t="str">
        <f t="shared" ca="1" si="1"/>
        <v>1+0.000635714177296249i</v>
      </c>
      <c r="E11" t="str">
        <f t="shared" ca="1" si="2"/>
        <v>1+0.411368668251864i</v>
      </c>
      <c r="F11">
        <f t="shared" ca="1" si="3"/>
        <v>69.486139019499433</v>
      </c>
      <c r="G11" t="str">
        <f t="shared" ca="1" si="15"/>
        <v>59.4743684746364-24.3375780128123i</v>
      </c>
      <c r="H11">
        <f t="shared" ca="1" si="16"/>
        <v>36.158993854617108</v>
      </c>
      <c r="I11">
        <f t="shared" ca="1" si="17"/>
        <v>-22.254927754056464</v>
      </c>
      <c r="K11" t="str">
        <f t="shared" ca="1" si="4"/>
        <v>1+0.00121089499584394i</v>
      </c>
      <c r="L11" t="str">
        <f t="shared" ca="1" si="5"/>
        <v>1-0.000333110868044942i</v>
      </c>
      <c r="M11" t="str">
        <f t="shared" ca="1" si="6"/>
        <v>1+0.387486398670061i</v>
      </c>
      <c r="N11" t="str">
        <f t="shared" si="7"/>
        <v>1+0.000975187958283936i</v>
      </c>
      <c r="O11">
        <f t="shared" ca="1" si="8"/>
        <v>30.873410267617786</v>
      </c>
      <c r="P11" t="str">
        <f t="shared" ca="1" si="18"/>
        <v>26.8420377472832-10.4039317373652i</v>
      </c>
      <c r="Q11">
        <f t="shared" ca="1" si="19"/>
        <v>29.184166167632526</v>
      </c>
      <c r="R11">
        <f t="shared" ca="1" si="20"/>
        <v>-21.186252781976307</v>
      </c>
      <c r="T11" t="str">
        <f t="shared" si="9"/>
        <v>1+0.01548i</v>
      </c>
      <c r="U11" t="str">
        <f t="shared" si="10"/>
        <v>1+0.0009i</v>
      </c>
      <c r="V11" t="str">
        <f t="shared" si="11"/>
        <v>-4.84496124031008i</v>
      </c>
      <c r="W11" t="str">
        <f t="shared" si="21"/>
        <v>0.070639477665744-4.84502481583998i</v>
      </c>
      <c r="X11">
        <f t="shared" si="22"/>
        <v>13.70684320004486</v>
      </c>
      <c r="Y11">
        <f t="shared" si="23"/>
        <v>-89.164698356414561</v>
      </c>
      <c r="Z11">
        <f t="shared" si="24"/>
        <v>14.323944878270581</v>
      </c>
      <c r="AA11">
        <f t="shared" ca="1" si="12"/>
        <v>49.865837054661966</v>
      </c>
      <c r="AB11">
        <f t="shared" ca="1" si="13"/>
        <v>-111.41962611047103</v>
      </c>
    </row>
    <row r="12" spans="1:32" x14ac:dyDescent="0.2">
      <c r="A12">
        <v>100</v>
      </c>
      <c r="B12" t="str">
        <f t="shared" si="14"/>
        <v>100i</v>
      </c>
      <c r="C12" t="str">
        <f t="shared" ca="1" si="0"/>
        <v>1+0.00134543888427104i</v>
      </c>
      <c r="D12" t="str">
        <f t="shared" ca="1" si="1"/>
        <v>1+0.000706349085884721i</v>
      </c>
      <c r="E12" t="str">
        <f t="shared" ca="1" si="2"/>
        <v>1+0.457076298057627i</v>
      </c>
      <c r="F12">
        <f t="shared" ca="1" si="3"/>
        <v>69.486139019499433</v>
      </c>
      <c r="G12" t="str">
        <f t="shared" ca="1" si="15"/>
        <v>57.531773060831-26.1538390272034i</v>
      </c>
      <c r="H12">
        <f t="shared" ca="1" si="16"/>
        <v>36.014002539705189</v>
      </c>
      <c r="I12">
        <f t="shared" ca="1" si="17"/>
        <v>-24.446458145129437</v>
      </c>
      <c r="K12" t="str">
        <f t="shared" ca="1" si="4"/>
        <v>1+0.00134543888427104i</v>
      </c>
      <c r="L12" t="str">
        <f t="shared" ca="1" si="5"/>
        <v>1-0.000370123186716602i</v>
      </c>
      <c r="M12" t="str">
        <f t="shared" ca="1" si="6"/>
        <v>1+0.430540442966734i</v>
      </c>
      <c r="N12" t="str">
        <f t="shared" si="7"/>
        <v>1+0.00108354217587104i</v>
      </c>
      <c r="O12">
        <f t="shared" ca="1" si="8"/>
        <v>30.873410267617786</v>
      </c>
      <c r="P12" t="str">
        <f t="shared" ca="1" si="18"/>
        <v>26.0442830185929-11.2164584807786i</v>
      </c>
      <c r="Q12">
        <f t="shared" ca="1" si="19"/>
        <v>29.053174175708371</v>
      </c>
      <c r="R12">
        <f t="shared" ca="1" si="20"/>
        <v>-23.300033717840194</v>
      </c>
      <c r="T12" t="str">
        <f t="shared" si="9"/>
        <v>1+0.0172i</v>
      </c>
      <c r="U12" t="str">
        <f t="shared" si="10"/>
        <v>1+0.001i</v>
      </c>
      <c r="V12" t="str">
        <f t="shared" si="11"/>
        <v>-4.36046511627907i</v>
      </c>
      <c r="W12" t="str">
        <f t="shared" si="21"/>
        <v>0.0706394642442567-4.36053575574331i</v>
      </c>
      <c r="X12">
        <f t="shared" si="22"/>
        <v>12.791936613523003</v>
      </c>
      <c r="Y12">
        <f t="shared" si="23"/>
        <v>-89.071905517741129</v>
      </c>
      <c r="Z12">
        <f t="shared" si="24"/>
        <v>15.915494309189533</v>
      </c>
      <c r="AA12">
        <f t="shared" ca="1" si="12"/>
        <v>48.805939153228195</v>
      </c>
      <c r="AB12">
        <f t="shared" ca="1" si="13"/>
        <v>-113.51836366287057</v>
      </c>
    </row>
    <row r="13" spans="1:32" x14ac:dyDescent="0.2">
      <c r="A13">
        <v>200</v>
      </c>
      <c r="B13" t="str">
        <f t="shared" si="14"/>
        <v>200i</v>
      </c>
      <c r="C13" t="str">
        <f t="shared" ca="1" si="0"/>
        <v>1+0.00269087776854209i</v>
      </c>
      <c r="D13" t="str">
        <f t="shared" ca="1" si="1"/>
        <v>1+0.00141269817176944i</v>
      </c>
      <c r="E13" t="str">
        <f t="shared" ca="1" si="2"/>
        <v>1+0.914152596115254i</v>
      </c>
      <c r="F13">
        <f t="shared" ca="1" si="3"/>
        <v>69.486139019499433</v>
      </c>
      <c r="G13" t="str">
        <f t="shared" ca="1" si="15"/>
        <v>37.9950367202741-34.4481198090674i</v>
      </c>
      <c r="H13">
        <f t="shared" ca="1" si="16"/>
        <v>34.200045871540759</v>
      </c>
      <c r="I13">
        <f t="shared" ca="1" si="17"/>
        <v>-42.196957973089162</v>
      </c>
      <c r="K13" t="str">
        <f t="shared" ca="1" si="4"/>
        <v>1+0.00269087776854209i</v>
      </c>
      <c r="L13" t="str">
        <f t="shared" ca="1" si="5"/>
        <v>1-0.000740246373433204i</v>
      </c>
      <c r="M13" t="str">
        <f t="shared" ca="1" si="6"/>
        <v>1+0.861080885933469i</v>
      </c>
      <c r="N13" t="str">
        <f t="shared" si="7"/>
        <v>1+0.00216708435174208i</v>
      </c>
      <c r="O13">
        <f t="shared" ca="1" si="8"/>
        <v>30.873410267617786</v>
      </c>
      <c r="P13" t="str">
        <f t="shared" ca="1" si="18"/>
        <v>17.7251833075093-15.2694992885826i</v>
      </c>
      <c r="Q13">
        <f t="shared" ca="1" si="19"/>
        <v>27.382569750546708</v>
      </c>
      <c r="R13">
        <f t="shared" ca="1" si="20"/>
        <v>-40.743514286978488</v>
      </c>
      <c r="T13" t="str">
        <f t="shared" si="9"/>
        <v>1+0.0344i</v>
      </c>
      <c r="U13" t="str">
        <f t="shared" si="10"/>
        <v>1+0.002i</v>
      </c>
      <c r="V13" t="str">
        <f t="shared" si="11"/>
        <v>-2.18023255813954i</v>
      </c>
      <c r="W13" t="str">
        <f t="shared" si="21"/>
        <v>0.0706392523267118-2.18037383664419i</v>
      </c>
      <c r="X13">
        <f t="shared" si="22"/>
        <v>6.7751752734350976</v>
      </c>
      <c r="Y13">
        <f t="shared" si="23"/>
        <v>-88.144393497032382</v>
      </c>
      <c r="Z13">
        <f t="shared" si="24"/>
        <v>31.830988618379067</v>
      </c>
      <c r="AA13">
        <f t="shared" ca="1" si="12"/>
        <v>40.975221144975855</v>
      </c>
      <c r="AB13">
        <f t="shared" ca="1" si="13"/>
        <v>-130.34135147012154</v>
      </c>
    </row>
    <row r="14" spans="1:32" x14ac:dyDescent="0.2">
      <c r="A14">
        <v>300</v>
      </c>
      <c r="B14" t="str">
        <f t="shared" si="14"/>
        <v>300i</v>
      </c>
      <c r="C14" t="str">
        <f t="shared" ca="1" si="0"/>
        <v>1+0.00403631665281313i</v>
      </c>
      <c r="D14" t="str">
        <f t="shared" ca="1" si="1"/>
        <v>1+0.00211904725765416i</v>
      </c>
      <c r="E14" t="str">
        <f t="shared" ca="1" si="2"/>
        <v>1+1.37122889417288i</v>
      </c>
      <c r="F14">
        <f t="shared" ca="1" si="3"/>
        <v>69.486139019499433</v>
      </c>
      <c r="G14" t="str">
        <f t="shared" ca="1" si="15"/>
        <v>24.3282985633675-32.9319534637557i</v>
      </c>
      <c r="H14">
        <f t="shared" ca="1" si="16"/>
        <v>32.243723853448657</v>
      </c>
      <c r="I14">
        <f t="shared" ca="1" si="17"/>
        <v>-53.545069392419208</v>
      </c>
      <c r="K14" t="str">
        <f t="shared" ca="1" si="4"/>
        <v>1+0.00403631665281313i</v>
      </c>
      <c r="L14" t="str">
        <f t="shared" ca="1" si="5"/>
        <v>1-0.00111036956014981i</v>
      </c>
      <c r="M14" t="str">
        <f t="shared" ca="1" si="6"/>
        <v>1+1.2916213289002i</v>
      </c>
      <c r="N14" t="str">
        <f t="shared" si="7"/>
        <v>1+0.00325062652761312i</v>
      </c>
      <c r="O14">
        <f t="shared" ca="1" si="8"/>
        <v>30.873410267617786</v>
      </c>
      <c r="P14" t="str">
        <f t="shared" ca="1" si="18"/>
        <v>11.5656913870246-14.9485179842209i</v>
      </c>
      <c r="Q14">
        <f t="shared" ca="1" si="19"/>
        <v>25.529399084415722</v>
      </c>
      <c r="R14">
        <f t="shared" ca="1" si="20"/>
        <v>-52.270824436712246</v>
      </c>
      <c r="T14" t="str">
        <f t="shared" si="9"/>
        <v>1+0.0516i</v>
      </c>
      <c r="U14" t="str">
        <f t="shared" si="10"/>
        <v>1+0.003i</v>
      </c>
      <c r="V14" t="str">
        <f t="shared" si="11"/>
        <v>-1.45348837209302i</v>
      </c>
      <c r="W14" t="str">
        <f t="shared" si="21"/>
        <v>0.0706388991336285-1.45370028879042i</v>
      </c>
      <c r="X14">
        <f t="shared" si="22"/>
        <v>3.259740133332119</v>
      </c>
      <c r="Y14">
        <f t="shared" si="23"/>
        <v>-87.218044335507017</v>
      </c>
      <c r="Z14">
        <f t="shared" si="24"/>
        <v>47.7464829275686</v>
      </c>
      <c r="AA14">
        <f t="shared" ca="1" si="12"/>
        <v>35.503463986780773</v>
      </c>
      <c r="AB14">
        <f t="shared" ca="1" si="13"/>
        <v>-140.76311372792622</v>
      </c>
    </row>
    <row r="15" spans="1:32" x14ac:dyDescent="0.2">
      <c r="A15">
        <v>400</v>
      </c>
      <c r="B15" t="str">
        <f t="shared" si="14"/>
        <v>400i</v>
      </c>
      <c r="C15" t="str">
        <f t="shared" ca="1" si="0"/>
        <v>1+0.00538175553708418i</v>
      </c>
      <c r="D15" t="str">
        <f t="shared" ca="1" si="1"/>
        <v>1+0.00282539634353889i</v>
      </c>
      <c r="E15" t="str">
        <f t="shared" ca="1" si="2"/>
        <v>1+1.82830519223051i</v>
      </c>
      <c r="F15">
        <f t="shared" ca="1" si="3"/>
        <v>69.486139019499433</v>
      </c>
      <c r="G15" t="str">
        <f t="shared" ca="1" si="15"/>
        <v>16.240526946031-29.1223564434569i</v>
      </c>
      <c r="H15">
        <f t="shared" ca="1" si="16"/>
        <v>30.460525907800829</v>
      </c>
      <c r="I15">
        <f t="shared" ca="1" si="17"/>
        <v>-60.853109535566311</v>
      </c>
      <c r="K15" t="str">
        <f t="shared" ca="1" si="4"/>
        <v>1+0.00538175553708418i</v>
      </c>
      <c r="L15" t="str">
        <f t="shared" ca="1" si="5"/>
        <v>1-0.00148049274686641i</v>
      </c>
      <c r="M15" t="str">
        <f t="shared" ca="1" si="6"/>
        <v>1+1.72216177186694i</v>
      </c>
      <c r="N15" t="str">
        <f t="shared" si="7"/>
        <v>1+0.00433416870348416i</v>
      </c>
      <c r="O15">
        <f t="shared" ca="1" si="8"/>
        <v>30.873410267617786</v>
      </c>
      <c r="P15" t="str">
        <f t="shared" ca="1" si="18"/>
        <v>7.77907597238992-13.4101933570395i</v>
      </c>
      <c r="Q15">
        <f t="shared" ca="1" si="19"/>
        <v>23.808392637439493</v>
      </c>
      <c r="R15">
        <f t="shared" ca="1" si="20"/>
        <v>-59.882546166926112</v>
      </c>
      <c r="T15" t="str">
        <f t="shared" si="9"/>
        <v>1+0.0688i</v>
      </c>
      <c r="U15" t="str">
        <f t="shared" si="10"/>
        <v>1+0.004i</v>
      </c>
      <c r="V15" t="str">
        <f t="shared" si="11"/>
        <v>-1.09011627906977i</v>
      </c>
      <c r="W15" t="str">
        <f t="shared" si="21"/>
        <v>0.0706384046692464-1.09039883268845i</v>
      </c>
      <c r="X15">
        <f t="shared" si="22"/>
        <v>0.76989558544828118</v>
      </c>
      <c r="Y15">
        <f t="shared" si="23"/>
        <v>-86.293434321210228</v>
      </c>
      <c r="Z15">
        <f t="shared" si="24"/>
        <v>63.661977236758133</v>
      </c>
      <c r="AA15">
        <f t="shared" ca="1" si="12"/>
        <v>31.230421493249111</v>
      </c>
      <c r="AB15">
        <f t="shared" ca="1" si="13"/>
        <v>-147.14654385677653</v>
      </c>
    </row>
    <row r="16" spans="1:32" x14ac:dyDescent="0.2">
      <c r="A16">
        <v>500</v>
      </c>
      <c r="B16" t="str">
        <f t="shared" si="14"/>
        <v>500i</v>
      </c>
      <c r="C16" t="str">
        <f t="shared" ca="1" si="0"/>
        <v>1+0.00672719442135522i</v>
      </c>
      <c r="D16" t="str">
        <f t="shared" ca="1" si="1"/>
        <v>1+0.00353174542942361i</v>
      </c>
      <c r="E16" t="str">
        <f t="shared" ca="1" si="2"/>
        <v>1+2.28538149028814i</v>
      </c>
      <c r="F16">
        <f t="shared" ca="1" si="3"/>
        <v>69.486139019499433</v>
      </c>
      <c r="G16" t="str">
        <f t="shared" ca="1" si="15"/>
        <v>11.4276058262997-25.4035847130703i</v>
      </c>
      <c r="H16">
        <f t="shared" ca="1" si="16"/>
        <v>28.898238258417557</v>
      </c>
      <c r="I16">
        <f t="shared" ca="1" si="17"/>
        <v>-65.779771247565392</v>
      </c>
      <c r="K16" t="str">
        <f t="shared" ca="1" si="4"/>
        <v>1+0.00672719442135522i</v>
      </c>
      <c r="L16" t="str">
        <f t="shared" ca="1" si="5"/>
        <v>1-0.00185061593358301i</v>
      </c>
      <c r="M16" t="str">
        <f t="shared" ca="1" si="6"/>
        <v>1+2.15270221483367i</v>
      </c>
      <c r="N16" t="str">
        <f t="shared" si="7"/>
        <v>1+0.0054177108793552i</v>
      </c>
      <c r="O16">
        <f t="shared" ca="1" si="8"/>
        <v>30.873410267617786</v>
      </c>
      <c r="P16" t="str">
        <f t="shared" ca="1" si="18"/>
        <v>5.47338341707263-11.799272798824i</v>
      </c>
      <c r="Q16">
        <f t="shared" ca="1" si="19"/>
        <v>22.283509834191285</v>
      </c>
      <c r="R16">
        <f t="shared" ca="1" si="20"/>
        <v>-65.114610341164052</v>
      </c>
      <c r="T16" t="str">
        <f t="shared" si="9"/>
        <v>1+0.086i</v>
      </c>
      <c r="U16" t="str">
        <f t="shared" si="10"/>
        <v>1+0.005i</v>
      </c>
      <c r="V16" t="str">
        <f t="shared" si="11"/>
        <v>-0.872093023255814i</v>
      </c>
      <c r="W16" t="str">
        <f t="shared" si="21"/>
        <v>0.0706377689394975-0.872446212100512i</v>
      </c>
      <c r="X16">
        <f t="shared" si="22"/>
        <v>-1.1568501082903877</v>
      </c>
      <c r="Y16">
        <f t="shared" si="23"/>
        <v>-85.371133623119078</v>
      </c>
      <c r="Z16">
        <f t="shared" si="24"/>
        <v>79.577471545947674</v>
      </c>
      <c r="AA16">
        <f t="shared" ca="1" si="12"/>
        <v>27.741388150127168</v>
      </c>
      <c r="AB16">
        <f t="shared" ca="1" si="13"/>
        <v>-151.15090487068449</v>
      </c>
    </row>
    <row r="17" spans="1:28" x14ac:dyDescent="0.2">
      <c r="A17">
        <v>600</v>
      </c>
      <c r="B17" t="str">
        <f t="shared" si="14"/>
        <v>600i</v>
      </c>
      <c r="C17" t="str">
        <f t="shared" ca="1" si="0"/>
        <v>1+0.00807263330562627i</v>
      </c>
      <c r="D17" t="str">
        <f t="shared" ca="1" si="1"/>
        <v>1+0.00423809451530833i</v>
      </c>
      <c r="E17" t="str">
        <f t="shared" ca="1" si="2"/>
        <v>1+2.74245778834576i</v>
      </c>
      <c r="F17">
        <f t="shared" ca="1" si="3"/>
        <v>69.486139019499433</v>
      </c>
      <c r="G17" t="str">
        <f t="shared" ca="1" si="15"/>
        <v>8.42965598524559-22.2625507650155i</v>
      </c>
      <c r="H17">
        <f t="shared" ca="1" si="16"/>
        <v>27.533380895457785</v>
      </c>
      <c r="I17">
        <f t="shared" ca="1" si="17"/>
        <v>-69.260961154829388</v>
      </c>
      <c r="K17" t="str">
        <f t="shared" ca="1" si="4"/>
        <v>1+0.00807263330562627i</v>
      </c>
      <c r="L17" t="str">
        <f t="shared" ca="1" si="5"/>
        <v>1-0.00222073912029961i</v>
      </c>
      <c r="M17" t="str">
        <f t="shared" ca="1" si="6"/>
        <v>1+2.58324265780041i</v>
      </c>
      <c r="N17" t="str">
        <f t="shared" si="7"/>
        <v>1+0.00650125305522624i</v>
      </c>
      <c r="O17">
        <f t="shared" ca="1" si="8"/>
        <v>30.873410267617786</v>
      </c>
      <c r="P17" t="str">
        <f t="shared" ca="1" si="18"/>
        <v>4.01687276281149-10.3966077454607i</v>
      </c>
      <c r="Q17">
        <f t="shared" ca="1" si="19"/>
        <v>20.942080244496374</v>
      </c>
      <c r="R17">
        <f t="shared" ca="1" si="20"/>
        <v>-68.8752732371007</v>
      </c>
      <c r="T17" t="str">
        <f t="shared" si="9"/>
        <v>1+0.1032i</v>
      </c>
      <c r="U17" t="str">
        <f t="shared" si="10"/>
        <v>1+0.006i</v>
      </c>
      <c r="V17" t="str">
        <f t="shared" si="11"/>
        <v>-0.726744186046512i</v>
      </c>
      <c r="W17" t="str">
        <f t="shared" si="21"/>
        <v>0.0706369919520106-0.727168007998224i</v>
      </c>
      <c r="X17">
        <f t="shared" si="22"/>
        <v>-2.7265161865362844</v>
      </c>
      <c r="Y17">
        <f t="shared" si="23"/>
        <v>-84.45170433520623</v>
      </c>
      <c r="Z17">
        <f t="shared" si="24"/>
        <v>95.4929658551372</v>
      </c>
      <c r="AA17">
        <f t="shared" ca="1" si="12"/>
        <v>24.806864708921502</v>
      </c>
      <c r="AB17">
        <f t="shared" ca="1" si="13"/>
        <v>-153.71266549003562</v>
      </c>
    </row>
    <row r="18" spans="1:28" x14ac:dyDescent="0.2">
      <c r="A18">
        <v>700</v>
      </c>
      <c r="B18" t="str">
        <f t="shared" si="14"/>
        <v>700i</v>
      </c>
      <c r="C18" t="str">
        <f t="shared" ca="1" si="0"/>
        <v>1+0.00941807218989731i</v>
      </c>
      <c r="D18" t="str">
        <f t="shared" ca="1" si="1"/>
        <v>1+0.00494444360119305i</v>
      </c>
      <c r="E18" t="str">
        <f t="shared" ca="1" si="2"/>
        <v>1+3.19953408640339i</v>
      </c>
      <c r="F18">
        <f t="shared" ca="1" si="3"/>
        <v>69.486139019499433</v>
      </c>
      <c r="G18" t="str">
        <f t="shared" ca="1" si="15"/>
        <v>6.4675541444417-19.6951641718713i</v>
      </c>
      <c r="H18">
        <f t="shared" ca="1" si="16"/>
        <v>26.331944084664482</v>
      </c>
      <c r="I18">
        <f t="shared" ca="1" si="17"/>
        <v>-71.820706783483956</v>
      </c>
      <c r="K18" t="str">
        <f t="shared" ca="1" si="4"/>
        <v>1+0.00941807218989731i</v>
      </c>
      <c r="L18" t="str">
        <f t="shared" ca="1" si="5"/>
        <v>1-0.00259086230701621i</v>
      </c>
      <c r="M18" t="str">
        <f t="shared" ca="1" si="6"/>
        <v>1+3.01378310076714i</v>
      </c>
      <c r="N18" t="str">
        <f t="shared" si="7"/>
        <v>1+0.00758479523109728i</v>
      </c>
      <c r="O18">
        <f t="shared" ca="1" si="8"/>
        <v>30.873410267617786</v>
      </c>
      <c r="P18" t="str">
        <f t="shared" ref="P18:P81" ca="1" si="25">IMDIV(IMPRODUCT(O18,K18,L18,),IMPRODUCT(M18,N18,))</f>
        <v>3.05502561704967-9.23057818845802i</v>
      </c>
      <c r="Q18">
        <f t="shared" ca="1" si="19"/>
        <v>19.756006919291394</v>
      </c>
      <c r="R18">
        <f t="shared" ref="R18:R81" ca="1" si="26">IMARGUMENT(P18)*180/PI()</f>
        <v>-71.687111012994677</v>
      </c>
      <c r="T18" t="str">
        <f t="shared" si="9"/>
        <v>1+0.1204i</v>
      </c>
      <c r="U18" t="str">
        <f t="shared" si="10"/>
        <v>1+0.007i</v>
      </c>
      <c r="V18" t="str">
        <f t="shared" si="11"/>
        <v>-0.622923588039867i</v>
      </c>
      <c r="W18" t="str">
        <f t="shared" si="21"/>
        <v>0.0706360737161088-0.62341804055588i</v>
      </c>
      <c r="X18">
        <f t="shared" si="22"/>
        <v>-4.049013194571315</v>
      </c>
      <c r="Y18">
        <f t="shared" si="23"/>
        <v>-83.535698590530018</v>
      </c>
      <c r="Z18">
        <f t="shared" si="24"/>
        <v>111.40846016432674</v>
      </c>
      <c r="AA18">
        <f t="shared" ca="1" si="12"/>
        <v>22.282930890093166</v>
      </c>
      <c r="AB18">
        <f t="shared" ca="1" si="13"/>
        <v>-155.35640537401397</v>
      </c>
    </row>
    <row r="19" spans="1:28" x14ac:dyDescent="0.2">
      <c r="A19">
        <v>800</v>
      </c>
      <c r="B19" t="str">
        <f t="shared" si="14"/>
        <v>800i</v>
      </c>
      <c r="C19" t="str">
        <f t="shared" ca="1" si="0"/>
        <v>1+0.0107635110741684i</v>
      </c>
      <c r="D19" t="str">
        <f t="shared" ca="1" si="1"/>
        <v>1+0.00565079268707777i</v>
      </c>
      <c r="E19" t="str">
        <f t="shared" ca="1" si="2"/>
        <v>1+3.65661038446102i</v>
      </c>
      <c r="F19">
        <f t="shared" ca="1" si="3"/>
        <v>69.486139019499433</v>
      </c>
      <c r="G19" t="str">
        <f t="shared" ca="1" si="15"/>
        <v>5.12515120240987-17.6001145156026i</v>
      </c>
      <c r="H19">
        <f t="shared" ca="1" si="16"/>
        <v>25.263796103712011</v>
      </c>
      <c r="I19">
        <f t="shared" ca="1" si="17"/>
        <v>-73.764446586106715</v>
      </c>
      <c r="K19" t="str">
        <f t="shared" ca="1" si="4"/>
        <v>1+0.0107635110741684i</v>
      </c>
      <c r="L19" t="str">
        <f t="shared" ca="1" si="5"/>
        <v>1-0.00296098549373282i</v>
      </c>
      <c r="M19" t="str">
        <f t="shared" ca="1" si="6"/>
        <v>1+3.44432354373387i</v>
      </c>
      <c r="N19" t="str">
        <f t="shared" si="7"/>
        <v>1+0.00866833740696832i</v>
      </c>
      <c r="O19">
        <f t="shared" ca="1" si="8"/>
        <v>30.873410267617786</v>
      </c>
      <c r="P19" t="str">
        <f t="shared" ca="1" si="25"/>
        <v>2.39300308031545-8.26901393371307i</v>
      </c>
      <c r="Q19">
        <f t="shared" ca="1" si="19"/>
        <v>18.69836113778813</v>
      </c>
      <c r="R19">
        <f t="shared" ca="1" si="26"/>
        <v>-73.859873489166446</v>
      </c>
      <c r="T19" t="str">
        <f t="shared" si="9"/>
        <v>1+0.1376i</v>
      </c>
      <c r="U19" t="str">
        <f t="shared" si="10"/>
        <v>1+0.008i</v>
      </c>
      <c r="V19" t="str">
        <f t="shared" si="11"/>
        <v>-0.545058139534884i</v>
      </c>
      <c r="W19" t="str">
        <f t="shared" si="21"/>
        <v>0.0706350142428094-0.545623219648827i</v>
      </c>
      <c r="X19">
        <f t="shared" si="22"/>
        <v>-5.1899618315653475</v>
      </c>
      <c r="Y19">
        <f t="shared" si="23"/>
        <v>-82.623656760710332</v>
      </c>
      <c r="Z19">
        <f t="shared" si="24"/>
        <v>127.32395447351627</v>
      </c>
      <c r="AA19">
        <f t="shared" ca="1" si="12"/>
        <v>20.073834272146662</v>
      </c>
      <c r="AB19">
        <f t="shared" ca="1" si="13"/>
        <v>-156.38810334681705</v>
      </c>
    </row>
    <row r="20" spans="1:28" x14ac:dyDescent="0.2">
      <c r="A20">
        <v>900</v>
      </c>
      <c r="B20" t="str">
        <f t="shared" si="14"/>
        <v>900i</v>
      </c>
      <c r="C20" t="str">
        <f t="shared" ca="1" si="0"/>
        <v>1+0.0121089499584394i</v>
      </c>
      <c r="D20" t="str">
        <f t="shared" ca="1" si="1"/>
        <v>1+0.00635714177296249i</v>
      </c>
      <c r="E20" t="str">
        <f t="shared" ca="1" si="2"/>
        <v>1+4.11368668251864i</v>
      </c>
      <c r="F20">
        <f t="shared" ca="1" si="3"/>
        <v>69.486139019499433</v>
      </c>
      <c r="G20" t="str">
        <f t="shared" ca="1" si="15"/>
        <v>4.1712683461677-15.8761536276466i</v>
      </c>
      <c r="H20">
        <f t="shared" ca="1" si="16"/>
        <v>24.304809821464751</v>
      </c>
      <c r="I20">
        <f t="shared" ca="1" si="17"/>
        <v>-75.278941217760462</v>
      </c>
      <c r="K20" t="str">
        <f t="shared" ca="1" si="4"/>
        <v>1+0.0121089499584394i</v>
      </c>
      <c r="L20" t="str">
        <f t="shared" ca="1" si="5"/>
        <v>1-0.00333110868044942i</v>
      </c>
      <c r="M20" t="str">
        <f t="shared" ca="1" si="6"/>
        <v>1+3.87486398670061i</v>
      </c>
      <c r="N20" t="str">
        <f t="shared" si="7"/>
        <v>1+0.00975187958283936i</v>
      </c>
      <c r="O20">
        <f t="shared" ca="1" si="8"/>
        <v>30.873410267617786</v>
      </c>
      <c r="P20" t="str">
        <f t="shared" ca="1" si="25"/>
        <v>1.92061354410865-7.47219742212509i</v>
      </c>
      <c r="Q20">
        <f t="shared" ca="1" si="19"/>
        <v>17.746810958422557</v>
      </c>
      <c r="R20">
        <f t="shared" ca="1" si="26"/>
        <v>-75.585043070903524</v>
      </c>
      <c r="T20" t="str">
        <f t="shared" si="9"/>
        <v>1+0.1548i</v>
      </c>
      <c r="U20" t="str">
        <f t="shared" si="10"/>
        <v>1+0.009i</v>
      </c>
      <c r="V20" t="str">
        <f t="shared" si="11"/>
        <v>-0.484496124031008i</v>
      </c>
      <c r="W20" t="str">
        <f t="shared" si="21"/>
        <v>0.0706338135448238-0.485131828352911i</v>
      </c>
      <c r="X20">
        <f t="shared" si="22"/>
        <v>-6.1917028129829719</v>
      </c>
      <c r="Y20">
        <f t="shared" si="23"/>
        <v>-81.716105754799074</v>
      </c>
      <c r="Z20">
        <f t="shared" si="24"/>
        <v>143.23944878270581</v>
      </c>
      <c r="AA20">
        <f t="shared" ca="1" si="12"/>
        <v>18.11310700848178</v>
      </c>
      <c r="AB20">
        <f t="shared" ca="1" si="13"/>
        <v>-156.99504697255952</v>
      </c>
    </row>
    <row r="21" spans="1:28" x14ac:dyDescent="0.2">
      <c r="A21">
        <v>1000</v>
      </c>
      <c r="B21" t="str">
        <f t="shared" si="14"/>
        <v>1000i</v>
      </c>
      <c r="C21" t="str">
        <f t="shared" ca="1" si="0"/>
        <v>1+0.0134543888427104i</v>
      </c>
      <c r="D21" t="str">
        <f t="shared" ca="1" si="1"/>
        <v>1+0.00706349085884721i</v>
      </c>
      <c r="E21" t="str">
        <f t="shared" ca="1" si="2"/>
        <v>1+4.57076298057627i</v>
      </c>
      <c r="F21">
        <f t="shared" ca="1" si="3"/>
        <v>69.486139019499433</v>
      </c>
      <c r="G21" t="str">
        <f t="shared" ca="1" si="15"/>
        <v>3.47143004196119-14.4413756841288i</v>
      </c>
      <c r="H21">
        <f t="shared" ca="1" si="16"/>
        <v>23.43613694234628</v>
      </c>
      <c r="I21">
        <f t="shared" ca="1" si="17"/>
        <v>-76.483636297215838</v>
      </c>
      <c r="K21" t="str">
        <f t="shared" ca="1" si="4"/>
        <v>1+0.0134543888427104i</v>
      </c>
      <c r="L21" t="str">
        <f t="shared" ca="1" si="5"/>
        <v>1-0.00370123186716602i</v>
      </c>
      <c r="M21" t="str">
        <f t="shared" ca="1" si="6"/>
        <v>1+4.30540442966734i</v>
      </c>
      <c r="N21" t="str">
        <f t="shared" si="7"/>
        <v>1+0.0108354217587104i</v>
      </c>
      <c r="O21">
        <f t="shared" ca="1" si="8"/>
        <v>30.873410267617786</v>
      </c>
      <c r="P21" t="str">
        <f t="shared" ca="1" si="25"/>
        <v>1.57298706721752-6.80577142594275i</v>
      </c>
      <c r="Q21">
        <f t="shared" ca="1" si="19"/>
        <v>16.883558568912768</v>
      </c>
      <c r="R21">
        <f t="shared" ca="1" si="26"/>
        <v>-76.986006152037476</v>
      </c>
      <c r="T21" t="str">
        <f t="shared" si="9"/>
        <v>1+0.172i</v>
      </c>
      <c r="U21" t="str">
        <f t="shared" si="10"/>
        <v>1+0.01i</v>
      </c>
      <c r="V21" t="str">
        <f t="shared" si="11"/>
        <v>-0.436046511627907i</v>
      </c>
      <c r="W21" t="str">
        <f t="shared" si="21"/>
        <v>0.0706324716365573-0.436752836344273i</v>
      </c>
      <c r="X21">
        <f t="shared" si="22"/>
        <v>-7.0831600940766677</v>
      </c>
      <c r="Y21">
        <f t="shared" si="23"/>
        <v>-80.813557430013617</v>
      </c>
      <c r="Z21">
        <f t="shared" si="24"/>
        <v>159.15494309189535</v>
      </c>
      <c r="AA21">
        <f t="shared" ca="1" si="12"/>
        <v>16.352976848269613</v>
      </c>
      <c r="AB21">
        <f t="shared" ca="1" si="13"/>
        <v>-157.29719372722946</v>
      </c>
    </row>
    <row r="22" spans="1:28" x14ac:dyDescent="0.2">
      <c r="A22">
        <v>1100</v>
      </c>
      <c r="B22" t="str">
        <f t="shared" si="14"/>
        <v>1100i</v>
      </c>
      <c r="C22" t="str">
        <f t="shared" ca="1" si="0"/>
        <v>1+0.0147998277269815i</v>
      </c>
      <c r="D22" t="str">
        <f t="shared" ca="1" si="1"/>
        <v>1+0.00776983994473193i</v>
      </c>
      <c r="E22" t="str">
        <f t="shared" ca="1" si="2"/>
        <v>1+5.0278392786339i</v>
      </c>
      <c r="F22">
        <f t="shared" ca="1" si="3"/>
        <v>69.486139019499433</v>
      </c>
      <c r="G22" t="str">
        <f t="shared" ca="1" si="15"/>
        <v>2.94389853926757-13.2331696425818i</v>
      </c>
      <c r="H22">
        <f t="shared" ca="1" si="16"/>
        <v>22.643060865362376</v>
      </c>
      <c r="I22">
        <f t="shared" ca="1" si="17"/>
        <v>-77.458013934595272</v>
      </c>
      <c r="K22" t="str">
        <f t="shared" ca="1" si="4"/>
        <v>1+0.0147998277269815i</v>
      </c>
      <c r="L22" t="str">
        <f t="shared" ca="1" si="5"/>
        <v>1-0.00407135505388262i</v>
      </c>
      <c r="M22" t="str">
        <f t="shared" ca="1" si="6"/>
        <v>1+4.73594487263408i</v>
      </c>
      <c r="N22" t="str">
        <f t="shared" si="7"/>
        <v>1+0.0119189639345814i</v>
      </c>
      <c r="O22">
        <f t="shared" ca="1" si="8"/>
        <v>30.873410267617786</v>
      </c>
      <c r="P22" t="str">
        <f t="shared" ca="1" si="25"/>
        <v>1.31036138184784-6.24257074168612i</v>
      </c>
      <c r="Q22">
        <f t="shared" ca="1" si="19"/>
        <v>16.09452855413166</v>
      </c>
      <c r="R22">
        <f t="shared" ca="1" si="26"/>
        <v>-78.14530608950453</v>
      </c>
      <c r="T22" t="str">
        <f t="shared" si="9"/>
        <v>1+0.1892i</v>
      </c>
      <c r="U22" t="str">
        <f t="shared" si="10"/>
        <v>1+0.011i</v>
      </c>
      <c r="V22" t="str">
        <f t="shared" si="11"/>
        <v>-0.396405919661734i</v>
      </c>
      <c r="W22" t="str">
        <f t="shared" si="21"/>
        <v>0.0706309885341084-0.397182860535609i</v>
      </c>
      <c r="X22">
        <f t="shared" si="22"/>
        <v>-7.8849778591648327</v>
      </c>
      <c r="Y22">
        <f t="shared" si="23"/>
        <v>-79.916507125105156</v>
      </c>
      <c r="Z22">
        <f t="shared" si="24"/>
        <v>175.07043740108489</v>
      </c>
      <c r="AA22">
        <f t="shared" ca="1" si="12"/>
        <v>14.758083006197543</v>
      </c>
      <c r="AB22">
        <f t="shared" ca="1" si="13"/>
        <v>-157.37452105970044</v>
      </c>
    </row>
    <row r="23" spans="1:28" x14ac:dyDescent="0.2">
      <c r="A23">
        <v>1200</v>
      </c>
      <c r="B23" t="str">
        <f t="shared" si="14"/>
        <v>1200i</v>
      </c>
      <c r="C23" t="str">
        <f t="shared" ca="1" si="0"/>
        <v>1+0.0161452666112525i</v>
      </c>
      <c r="D23" t="str">
        <f t="shared" ca="1" si="1"/>
        <v>1+0.00847618903061666i</v>
      </c>
      <c r="E23" t="str">
        <f t="shared" ca="1" si="2"/>
        <v>1+5.48491557669153i</v>
      </c>
      <c r="F23">
        <f t="shared" ca="1" si="3"/>
        <v>69.486139019499433</v>
      </c>
      <c r="G23" t="str">
        <f t="shared" ca="1" si="15"/>
        <v>2.53698812132976-12.2043157749696i</v>
      </c>
      <c r="H23">
        <f t="shared" ca="1" si="16"/>
        <v>21.913996793406071</v>
      </c>
      <c r="I23">
        <f t="shared" ca="1" si="17"/>
        <v>-78.256809653601422</v>
      </c>
      <c r="K23" t="str">
        <f t="shared" ca="1" si="4"/>
        <v>1+0.0161452666112525i</v>
      </c>
      <c r="L23" t="str">
        <f t="shared" ca="1" si="5"/>
        <v>1-0.00444147824059922i</v>
      </c>
      <c r="M23" t="str">
        <f t="shared" ca="1" si="6"/>
        <v>1+5.16648531560081i</v>
      </c>
      <c r="N23" t="str">
        <f t="shared" si="7"/>
        <v>1+0.0130025061104525i</v>
      </c>
      <c r="O23">
        <f t="shared" ca="1" si="8"/>
        <v>30.873410267617786</v>
      </c>
      <c r="P23" t="str">
        <f t="shared" ca="1" si="25"/>
        <v>1.10743905967609-5.76168548901722i</v>
      </c>
      <c r="Q23">
        <f t="shared" ca="1" si="19"/>
        <v>15.368542799613953</v>
      </c>
      <c r="R23">
        <f t="shared" ca="1" si="26"/>
        <v>-79.120009912645969</v>
      </c>
      <c r="T23" t="str">
        <f t="shared" si="9"/>
        <v>1+0.2064i</v>
      </c>
      <c r="U23" t="str">
        <f t="shared" si="10"/>
        <v>1+0.012i</v>
      </c>
      <c r="V23" t="str">
        <f t="shared" si="11"/>
        <v>-0.363372093023256i</v>
      </c>
      <c r="W23" t="str">
        <f t="shared" si="21"/>
        <v>0.0706293642552682-0.364219645394319i</v>
      </c>
      <c r="X23">
        <f t="shared" si="22"/>
        <v>-8.61241272551697</v>
      </c>
      <c r="Y23">
        <f t="shared" si="23"/>
        <v>-79.02543232532598</v>
      </c>
      <c r="Z23">
        <f t="shared" si="24"/>
        <v>190.9859317102744</v>
      </c>
      <c r="AA23">
        <f t="shared" ca="1" si="12"/>
        <v>13.301584067889101</v>
      </c>
      <c r="AB23">
        <f t="shared" ca="1" si="13"/>
        <v>-157.2822419789274</v>
      </c>
    </row>
    <row r="24" spans="1:28" x14ac:dyDescent="0.2">
      <c r="A24">
        <v>1300</v>
      </c>
      <c r="B24" t="str">
        <f t="shared" si="14"/>
        <v>1300i</v>
      </c>
      <c r="C24" t="str">
        <f t="shared" ca="1" si="0"/>
        <v>1+0.0174907054955236i</v>
      </c>
      <c r="D24" t="str">
        <f t="shared" ca="1" si="1"/>
        <v>1+0.00918253811650138i</v>
      </c>
      <c r="E24" t="str">
        <f t="shared" ca="1" si="2"/>
        <v>1+5.94199187474915i</v>
      </c>
      <c r="F24">
        <f t="shared" ca="1" si="3"/>
        <v>69.486139019499433</v>
      </c>
      <c r="G24" t="str">
        <f t="shared" ca="1" si="15"/>
        <v>2.21685616717713-11.3191206191279i</v>
      </c>
      <c r="H24">
        <f t="shared" ca="1" si="16"/>
        <v>21.239722563866987</v>
      </c>
      <c r="I24">
        <f t="shared" ca="1" si="17"/>
        <v>-78.918849948940618</v>
      </c>
      <c r="K24" t="str">
        <f t="shared" ca="1" si="4"/>
        <v>1+0.0174907054955236i</v>
      </c>
      <c r="L24" t="str">
        <f t="shared" ca="1" si="5"/>
        <v>1-0.00481160142731582i</v>
      </c>
      <c r="M24" t="str">
        <f t="shared" ca="1" si="6"/>
        <v>1+5.59702575856755i</v>
      </c>
      <c r="N24" t="str">
        <f t="shared" si="7"/>
        <v>1+0.0140860482863235i</v>
      </c>
      <c r="O24">
        <f t="shared" ca="1" si="8"/>
        <v>30.873410267617786</v>
      </c>
      <c r="P24" t="str">
        <f t="shared" ca="1" si="25"/>
        <v>0.947579656267961-5.34709288541255i</v>
      </c>
      <c r="Q24">
        <f t="shared" ca="1" si="19"/>
        <v>14.696646039952173</v>
      </c>
      <c r="R24">
        <f t="shared" ca="1" si="26"/>
        <v>-79.950718158287486</v>
      </c>
      <c r="T24" t="str">
        <f t="shared" si="9"/>
        <v>1+0.2236i</v>
      </c>
      <c r="U24" t="str">
        <f t="shared" si="10"/>
        <v>1+0.013i</v>
      </c>
      <c r="V24" t="str">
        <f t="shared" si="11"/>
        <v>-0.335420393559928i</v>
      </c>
      <c r="W24" t="str">
        <f t="shared" si="21"/>
        <v>0.0706275988195203-0.336338552344582i</v>
      </c>
      <c r="X24">
        <f t="shared" si="22"/>
        <v>-9.2770641952938053</v>
      </c>
      <c r="Y24">
        <f t="shared" si="23"/>
        <v>-78.140791466076664</v>
      </c>
      <c r="Z24">
        <f t="shared" si="24"/>
        <v>206.90142601946394</v>
      </c>
      <c r="AA24">
        <f t="shared" ca="1" si="12"/>
        <v>11.962658368573182</v>
      </c>
      <c r="AB24">
        <f t="shared" ca="1" si="13"/>
        <v>-157.05964141501727</v>
      </c>
    </row>
    <row r="25" spans="1:28" x14ac:dyDescent="0.2">
      <c r="A25">
        <v>1400</v>
      </c>
      <c r="B25" t="str">
        <f t="shared" si="14"/>
        <v>1400i</v>
      </c>
      <c r="C25" t="str">
        <f t="shared" ca="1" si="0"/>
        <v>1+0.0188361443797946i</v>
      </c>
      <c r="D25" t="str">
        <f t="shared" ca="1" si="1"/>
        <v>1+0.0098888872023861i</v>
      </c>
      <c r="E25" t="str">
        <f t="shared" ca="1" si="2"/>
        <v>1+6.39906817280678i</v>
      </c>
      <c r="F25">
        <f t="shared" ca="1" si="3"/>
        <v>69.486139019499433</v>
      </c>
      <c r="G25" t="str">
        <f t="shared" ca="1" si="15"/>
        <v>1.96065456741391-10.5503707023477i</v>
      </c>
      <c r="H25">
        <f t="shared" ca="1" si="16"/>
        <v>20.612808697987536</v>
      </c>
      <c r="I25">
        <f t="shared" ca="1" si="17"/>
        <v>-79.472391273879694</v>
      </c>
      <c r="K25" t="str">
        <f t="shared" ca="1" si="4"/>
        <v>1+0.0188361443797946i</v>
      </c>
      <c r="L25" t="str">
        <f t="shared" ca="1" si="5"/>
        <v>1-0.00518172461403243i</v>
      </c>
      <c r="M25" t="str">
        <f t="shared" ca="1" si="6"/>
        <v>1+6.02756620153428i</v>
      </c>
      <c r="N25" t="str">
        <f t="shared" si="7"/>
        <v>1+0.0151695904621946i</v>
      </c>
      <c r="O25">
        <f t="shared" ca="1" si="8"/>
        <v>30.873410267617786</v>
      </c>
      <c r="P25" t="str">
        <f t="shared" ca="1" si="25"/>
        <v>0.819508938966301-4.98645780779364i</v>
      </c>
      <c r="Q25">
        <f t="shared" ca="1" si="19"/>
        <v>14.07158930464168</v>
      </c>
      <c r="R25">
        <f t="shared" ca="1" si="26"/>
        <v>-80.667046208991309</v>
      </c>
      <c r="T25" t="str">
        <f t="shared" si="9"/>
        <v>1+0.2408i</v>
      </c>
      <c r="U25" t="str">
        <f t="shared" si="10"/>
        <v>1+0.014i</v>
      </c>
      <c r="V25" t="str">
        <f t="shared" si="11"/>
        <v>-0.311461794019934i</v>
      </c>
      <c r="W25" t="str">
        <f t="shared" si="21"/>
        <v>0.0706256922480404-0.312450553711407i</v>
      </c>
      <c r="X25">
        <f t="shared" si="22"/>
        <v>-9.8879618918161452</v>
      </c>
      <c r="Y25">
        <f t="shared" si="23"/>
        <v>-77.263022880402644</v>
      </c>
      <c r="Z25">
        <f t="shared" si="24"/>
        <v>222.81692032865348</v>
      </c>
      <c r="AA25">
        <f t="shared" ca="1" si="12"/>
        <v>10.72484680617139</v>
      </c>
      <c r="AB25">
        <f t="shared" ca="1" si="13"/>
        <v>-156.73541415428235</v>
      </c>
    </row>
    <row r="26" spans="1:28" x14ac:dyDescent="0.2">
      <c r="A26">
        <v>1500</v>
      </c>
      <c r="B26" t="str">
        <f t="shared" si="14"/>
        <v>1500i</v>
      </c>
      <c r="C26" t="str">
        <f t="shared" ca="1" si="0"/>
        <v>1+0.0201815832640657i</v>
      </c>
      <c r="D26" t="str">
        <f t="shared" ca="1" si="1"/>
        <v>1+0.0105952362882708i</v>
      </c>
      <c r="E26" t="str">
        <f t="shared" ca="1" si="2"/>
        <v>1+6.85614447086441i</v>
      </c>
      <c r="F26">
        <f t="shared" ca="1" si="3"/>
        <v>69.486139019499433</v>
      </c>
      <c r="G26" t="str">
        <f t="shared" ca="1" si="15"/>
        <v>1.75253753338366-9.87708815749903i</v>
      </c>
      <c r="H26">
        <f t="shared" ca="1" si="16"/>
        <v>20.027199557737386</v>
      </c>
      <c r="I26">
        <f t="shared" ca="1" si="17"/>
        <v>-79.93846142818407</v>
      </c>
      <c r="K26" t="str">
        <f t="shared" ca="1" si="4"/>
        <v>1+0.0201815832640657i</v>
      </c>
      <c r="L26" t="str">
        <f t="shared" ca="1" si="5"/>
        <v>1-0.00555184780074903i</v>
      </c>
      <c r="M26" t="str">
        <f t="shared" ca="1" si="6"/>
        <v>1+6.45810664450101i</v>
      </c>
      <c r="N26" t="str">
        <f t="shared" si="7"/>
        <v>1+0.0162531326380656i</v>
      </c>
      <c r="O26">
        <f t="shared" ca="1" si="8"/>
        <v>30.873410267617786</v>
      </c>
      <c r="P26" t="str">
        <f t="shared" ca="1" si="25"/>
        <v>0.715386152745856-4.67020284527775i</v>
      </c>
      <c r="Q26">
        <f t="shared" ca="1" si="19"/>
        <v>13.48744231718932</v>
      </c>
      <c r="R26">
        <f t="shared" ca="1" si="26"/>
        <v>-81.291073063630307</v>
      </c>
      <c r="T26" t="str">
        <f t="shared" si="9"/>
        <v>1+0.258i</v>
      </c>
      <c r="U26" t="str">
        <f t="shared" si="10"/>
        <v>1+0.015i</v>
      </c>
      <c r="V26" t="str">
        <f t="shared" si="11"/>
        <v>-0.290697674418605i</v>
      </c>
      <c r="W26" t="str">
        <f t="shared" si="21"/>
        <v>0.0706236445636942-0.29175702908706i</v>
      </c>
      <c r="X26">
        <f t="shared" si="22"/>
        <v>-10.452276696654923</v>
      </c>
      <c r="Y26">
        <f t="shared" si="23"/>
        <v>-76.392543893605591</v>
      </c>
      <c r="Z26">
        <f t="shared" si="24"/>
        <v>238.73241463784302</v>
      </c>
      <c r="AA26">
        <f t="shared" ca="1" si="12"/>
        <v>9.574922861082463</v>
      </c>
      <c r="AB26">
        <f t="shared" ca="1" si="13"/>
        <v>-156.33100532178966</v>
      </c>
    </row>
    <row r="27" spans="1:28" x14ac:dyDescent="0.2">
      <c r="A27">
        <v>1600</v>
      </c>
      <c r="B27" t="str">
        <f t="shared" si="14"/>
        <v>1600i</v>
      </c>
      <c r="C27" t="str">
        <f t="shared" ca="1" si="0"/>
        <v>1+0.0215270221483367i</v>
      </c>
      <c r="D27" t="str">
        <f t="shared" ca="1" si="1"/>
        <v>1+0.0113015853741555i</v>
      </c>
      <c r="E27" t="str">
        <f t="shared" ca="1" si="2"/>
        <v>1+7.31322076892203i</v>
      </c>
      <c r="F27">
        <f t="shared" ca="1" si="3"/>
        <v>69.486139019499433</v>
      </c>
      <c r="G27" t="str">
        <f t="shared" ca="1" si="15"/>
        <v>1.58125197318078-9.28291158504013i</v>
      </c>
      <c r="H27">
        <f t="shared" ca="1" si="16"/>
        <v>19.477904482451148</v>
      </c>
      <c r="I27">
        <f t="shared" ca="1" si="17"/>
        <v>-80.33301747688661</v>
      </c>
      <c r="K27" t="str">
        <f t="shared" ca="1" si="4"/>
        <v>1+0.0215270221483367i</v>
      </c>
      <c r="L27" t="str">
        <f t="shared" ca="1" si="5"/>
        <v>1-0.00592197098746563i</v>
      </c>
      <c r="M27" t="str">
        <f t="shared" ca="1" si="6"/>
        <v>1+6.88864708746775i</v>
      </c>
      <c r="N27" t="str">
        <f t="shared" si="7"/>
        <v>1+0.0173366748139366i</v>
      </c>
      <c r="O27">
        <f t="shared" ca="1" si="8"/>
        <v>30.873410267617786</v>
      </c>
      <c r="P27" t="str">
        <f t="shared" ca="1" si="25"/>
        <v>0.629630682308634-4.39081684333954i</v>
      </c>
      <c r="Q27">
        <f t="shared" ca="1" si="19"/>
        <v>12.939303543347771</v>
      </c>
      <c r="R27">
        <f t="shared" ca="1" si="26"/>
        <v>-81.839577835818261</v>
      </c>
      <c r="T27" t="str">
        <f t="shared" si="9"/>
        <v>1+0.2752i</v>
      </c>
      <c r="U27" t="str">
        <f t="shared" si="10"/>
        <v>1+0.016i</v>
      </c>
      <c r="V27" t="str">
        <f t="shared" si="11"/>
        <v>-0.272529069767442i</v>
      </c>
      <c r="W27" t="str">
        <f t="shared" si="21"/>
        <v>0.0706214557910384-0.273659013060099i</v>
      </c>
      <c r="X27">
        <f t="shared" si="22"/>
        <v>-10.97580182339351</v>
      </c>
      <c r="Y27">
        <f t="shared" si="23"/>
        <v>-75.529750066377204</v>
      </c>
      <c r="Z27">
        <f t="shared" si="24"/>
        <v>254.64790894703253</v>
      </c>
      <c r="AA27">
        <f t="shared" ca="1" si="12"/>
        <v>8.5021026590576376</v>
      </c>
      <c r="AB27">
        <f t="shared" ca="1" si="13"/>
        <v>-155.86276754326383</v>
      </c>
    </row>
    <row r="28" spans="1:28" x14ac:dyDescent="0.2">
      <c r="A28">
        <v>1700</v>
      </c>
      <c r="B28" t="str">
        <f t="shared" si="14"/>
        <v>1700i</v>
      </c>
      <c r="C28" t="str">
        <f t="shared" ca="1" si="0"/>
        <v>1+0.0228724610326078i</v>
      </c>
      <c r="D28" t="str">
        <f t="shared" ca="1" si="1"/>
        <v>1+0.0120079344600403i</v>
      </c>
      <c r="E28" t="str">
        <f t="shared" ca="1" si="2"/>
        <v>1+7.77029706697966i</v>
      </c>
      <c r="F28">
        <f t="shared" ca="1" si="3"/>
        <v>69.486139019499433</v>
      </c>
      <c r="G28" t="str">
        <f t="shared" ca="1" si="15"/>
        <v>1.43863681304287-8.75493139857868i</v>
      </c>
      <c r="H28">
        <f t="shared" ca="1" si="16"/>
        <v>18.960768081156193</v>
      </c>
      <c r="I28">
        <f t="shared" ca="1" si="17"/>
        <v>-80.668378791797906</v>
      </c>
      <c r="K28" t="str">
        <f t="shared" ca="1" si="4"/>
        <v>1+0.0228724610326078i</v>
      </c>
      <c r="L28" t="str">
        <f t="shared" ca="1" si="5"/>
        <v>1-0.00629209417418223i</v>
      </c>
      <c r="M28" t="str">
        <f t="shared" ca="1" si="6"/>
        <v>1+7.31918753043448i</v>
      </c>
      <c r="N28" t="str">
        <f t="shared" si="7"/>
        <v>1+0.0184202169898077i</v>
      </c>
      <c r="O28">
        <f t="shared" ca="1" si="8"/>
        <v>30.873410267617786</v>
      </c>
      <c r="P28" t="str">
        <f t="shared" ca="1" si="25"/>
        <v>0.558187976672888-4.14234747601115i</v>
      </c>
      <c r="Q28">
        <f t="shared" ca="1" si="19"/>
        <v>12.423082288025268</v>
      </c>
      <c r="R28">
        <f t="shared" ca="1" si="26"/>
        <v>-82.325529860958852</v>
      </c>
      <c r="T28" t="str">
        <f t="shared" si="9"/>
        <v>1+0.2924i</v>
      </c>
      <c r="U28" t="str">
        <f t="shared" si="10"/>
        <v>1+0.017i</v>
      </c>
      <c r="V28" t="str">
        <f t="shared" si="11"/>
        <v>-0.256497948016416i</v>
      </c>
      <c r="W28" t="str">
        <f t="shared" si="21"/>
        <v>0.0706191259563195-0.257698473157673i</v>
      </c>
      <c r="X28">
        <f t="shared" si="22"/>
        <v>-11.463287711661106</v>
      </c>
      <c r="Y28">
        <f t="shared" si="23"/>
        <v>-74.675014586085254</v>
      </c>
      <c r="Z28">
        <f t="shared" si="24"/>
        <v>270.5634032562221</v>
      </c>
      <c r="AA28">
        <f t="shared" ca="1" si="12"/>
        <v>7.4974803694950864</v>
      </c>
      <c r="AB28">
        <f t="shared" ca="1" si="13"/>
        <v>-155.34339337788316</v>
      </c>
    </row>
    <row r="29" spans="1:28" x14ac:dyDescent="0.2">
      <c r="A29">
        <v>1800</v>
      </c>
      <c r="B29" t="str">
        <f t="shared" si="14"/>
        <v>1800i</v>
      </c>
      <c r="C29" t="str">
        <f t="shared" ca="1" si="0"/>
        <v>1+0.0242178999168788i</v>
      </c>
      <c r="D29" t="str">
        <f t="shared" ca="1" si="1"/>
        <v>1+0.012714283545925i</v>
      </c>
      <c r="E29" t="str">
        <f t="shared" ca="1" si="2"/>
        <v>1+8.22737336503729i</v>
      </c>
      <c r="F29">
        <f t="shared" ca="1" si="3"/>
        <v>69.486139019499433</v>
      </c>
      <c r="G29" t="str">
        <f t="shared" ca="1" si="15"/>
        <v>1.31866176174977-8.28284782172317i</v>
      </c>
      <c r="H29">
        <f t="shared" ca="1" si="16"/>
        <v>18.472297573788705</v>
      </c>
      <c r="I29">
        <f t="shared" ca="1" si="17"/>
        <v>-80.954202638015119</v>
      </c>
      <c r="K29" t="str">
        <f t="shared" ca="1" si="4"/>
        <v>1+0.0242178999168788i</v>
      </c>
      <c r="L29" t="str">
        <f t="shared" ca="1" si="5"/>
        <v>1-0.00666221736089883i</v>
      </c>
      <c r="M29" t="str">
        <f t="shared" ca="1" si="6"/>
        <v>1+7.74972797340122i</v>
      </c>
      <c r="N29" t="str">
        <f t="shared" si="7"/>
        <v>1+0.0195037591656787i</v>
      </c>
      <c r="O29">
        <f t="shared" ca="1" si="8"/>
        <v>30.873410267617786</v>
      </c>
      <c r="P29" t="str">
        <f t="shared" ca="1" si="25"/>
        <v>0.498057626215977-3.92002913337184i</v>
      </c>
      <c r="Q29">
        <f t="shared" ca="1" si="19"/>
        <v>11.935333611508561</v>
      </c>
      <c r="R29">
        <f t="shared" ca="1" si="26"/>
        <v>-82.759105822513433</v>
      </c>
      <c r="T29" t="str">
        <f t="shared" si="9"/>
        <v>1+0.3096i</v>
      </c>
      <c r="U29" t="str">
        <f t="shared" si="10"/>
        <v>1+0.018i</v>
      </c>
      <c r="V29" t="str">
        <f t="shared" si="11"/>
        <v>-0.242248062015504i</v>
      </c>
      <c r="W29" t="str">
        <f t="shared" si="21"/>
        <v>0.0706166550874726-0.243519161807078i</v>
      </c>
      <c r="X29">
        <f t="shared" si="22"/>
        <v>-11.918680978677845</v>
      </c>
      <c r="Y29">
        <f t="shared" si="23"/>
        <v>-73.828687804175658</v>
      </c>
      <c r="Z29">
        <f t="shared" si="24"/>
        <v>286.47889756541161</v>
      </c>
      <c r="AA29">
        <f t="shared" ca="1" si="12"/>
        <v>6.55361659511086</v>
      </c>
      <c r="AB29">
        <f t="shared" ca="1" si="13"/>
        <v>-154.78289044219076</v>
      </c>
    </row>
    <row r="30" spans="1:28" x14ac:dyDescent="0.2">
      <c r="A30">
        <v>1900</v>
      </c>
      <c r="B30" t="str">
        <f t="shared" si="14"/>
        <v>1900i</v>
      </c>
      <c r="C30" t="str">
        <f t="shared" ca="1" si="0"/>
        <v>1+0.0255633388011499i</v>
      </c>
      <c r="D30" t="str">
        <f t="shared" ca="1" si="1"/>
        <v>1+0.0134206326318097i</v>
      </c>
      <c r="E30" t="str">
        <f t="shared" ca="1" si="2"/>
        <v>1+8.68444966309491i</v>
      </c>
      <c r="F30">
        <f t="shared" ca="1" si="3"/>
        <v>69.486139019499433</v>
      </c>
      <c r="G30" t="str">
        <f t="shared" ca="1" si="15"/>
        <v>1.21679586779147-7.85835680557405i</v>
      </c>
      <c r="H30">
        <f t="shared" ca="1" si="16"/>
        <v>18.009531539501157</v>
      </c>
      <c r="I30">
        <f t="shared" ca="1" si="17"/>
        <v>-81.198163226867891</v>
      </c>
      <c r="K30" t="str">
        <f t="shared" ca="1" si="4"/>
        <v>1+0.0255633388011499i</v>
      </c>
      <c r="L30" t="str">
        <f t="shared" ca="1" si="5"/>
        <v>1-0.00703234054761544i</v>
      </c>
      <c r="M30" t="str">
        <f t="shared" ca="1" si="6"/>
        <v>1+8.18026841636795i</v>
      </c>
      <c r="N30" t="str">
        <f t="shared" si="7"/>
        <v>1+0.0205873013415498i</v>
      </c>
      <c r="O30">
        <f t="shared" ca="1" si="8"/>
        <v>30.873410267617786</v>
      </c>
      <c r="P30" t="str">
        <f t="shared" ca="1" si="25"/>
        <v>0.446982427191768-3.72000863827679i</v>
      </c>
      <c r="Q30">
        <f t="shared" ca="1" si="19"/>
        <v>11.47313206124185</v>
      </c>
      <c r="R30">
        <f t="shared" ca="1" si="26"/>
        <v>-83.148399256292507</v>
      </c>
      <c r="T30" t="str">
        <f t="shared" si="9"/>
        <v>1+0.3268i</v>
      </c>
      <c r="U30" t="str">
        <f t="shared" si="10"/>
        <v>1+0.019i</v>
      </c>
      <c r="V30" t="str">
        <f t="shared" si="11"/>
        <v>-0.229498164014688i</v>
      </c>
      <c r="W30" t="str">
        <f t="shared" si="21"/>
        <v>0.0706140432141206-0.230839830835756i</v>
      </c>
      <c r="X30">
        <f t="shared" si="22"/>
        <v>-12.345298610869165</v>
      </c>
      <c r="Y30">
        <f t="shared" si="23"/>
        <v>-72.991096916118508</v>
      </c>
      <c r="Z30">
        <f t="shared" si="24"/>
        <v>302.39439187460113</v>
      </c>
      <c r="AA30">
        <f t="shared" ca="1" si="12"/>
        <v>5.6642329286319928</v>
      </c>
      <c r="AB30">
        <f t="shared" ca="1" si="13"/>
        <v>-154.1892601429864</v>
      </c>
    </row>
    <row r="31" spans="1:28" x14ac:dyDescent="0.2">
      <c r="A31">
        <v>2000</v>
      </c>
      <c r="B31" t="str">
        <f t="shared" si="14"/>
        <v>2000i</v>
      </c>
      <c r="C31" t="str">
        <f t="shared" ca="1" si="0"/>
        <v>1+0.0269087776854209i</v>
      </c>
      <c r="D31" t="str">
        <f t="shared" ca="1" si="1"/>
        <v>1+0.0141269817176944i</v>
      </c>
      <c r="E31" t="str">
        <f t="shared" ca="1" si="2"/>
        <v>1+9.14152596115254i</v>
      </c>
      <c r="F31">
        <f t="shared" ca="1" si="3"/>
        <v>69.486139019499433</v>
      </c>
      <c r="G31" t="str">
        <f t="shared" ca="1" si="15"/>
        <v>1.12958318358148-7.47469751533586i</v>
      </c>
      <c r="H31">
        <f t="shared" ca="1" si="16"/>
        <v>17.569939009672005</v>
      </c>
      <c r="I31">
        <f t="shared" ca="1" si="17"/>
        <v>-81.406433861081112</v>
      </c>
      <c r="K31" t="str">
        <f t="shared" ca="1" si="4"/>
        <v>1+0.0269087776854209i</v>
      </c>
      <c r="L31" t="str">
        <f t="shared" ca="1" si="5"/>
        <v>1-0.00740246373433204i</v>
      </c>
      <c r="M31" t="str">
        <f t="shared" ca="1" si="6"/>
        <v>1+8.61080885933469i</v>
      </c>
      <c r="N31" t="str">
        <f t="shared" si="7"/>
        <v>1+0.0216708435174208i</v>
      </c>
      <c r="O31">
        <f t="shared" ca="1" si="8"/>
        <v>30.873410267617786</v>
      </c>
      <c r="P31" t="str">
        <f t="shared" ca="1" si="25"/>
        <v>0.403238914412598-3.53914146425397i</v>
      </c>
      <c r="Q31">
        <f t="shared" ca="1" si="19"/>
        <v>11.033974117892487</v>
      </c>
      <c r="R31">
        <f t="shared" ca="1" si="26"/>
        <v>-83.499925224506228</v>
      </c>
      <c r="T31" t="str">
        <f t="shared" si="9"/>
        <v>1+0.344i</v>
      </c>
      <c r="U31" t="str">
        <f t="shared" si="10"/>
        <v>1+0.02i</v>
      </c>
      <c r="V31" t="str">
        <f t="shared" si="11"/>
        <v>-0.218023255813954i</v>
      </c>
      <c r="W31" t="str">
        <f t="shared" si="21"/>
        <v>0.0706112903675741-0.219435481621305i</v>
      </c>
      <c r="X31">
        <f t="shared" si="22"/>
        <v>-12.745957360584953</v>
      </c>
      <c r="Y31">
        <f t="shared" si="23"/>
        <v>-72.162545778948854</v>
      </c>
      <c r="Z31">
        <f t="shared" si="24"/>
        <v>318.3098861837907</v>
      </c>
      <c r="AA31">
        <f t="shared" ca="1" si="12"/>
        <v>4.8239816490870524</v>
      </c>
      <c r="AB31">
        <f t="shared" ca="1" si="13"/>
        <v>-153.56897964002997</v>
      </c>
    </row>
    <row r="32" spans="1:28" x14ac:dyDescent="0.2">
      <c r="A32">
        <v>2100</v>
      </c>
      <c r="B32" t="str">
        <f t="shared" si="14"/>
        <v>2100i</v>
      </c>
      <c r="C32" t="str">
        <f t="shared" ca="1" si="0"/>
        <v>1+0.0282542165696919i</v>
      </c>
      <c r="D32" t="str">
        <f t="shared" ca="1" si="1"/>
        <v>1+0.0148333308035791i</v>
      </c>
      <c r="E32" t="str">
        <f t="shared" ca="1" si="2"/>
        <v>1+9.59860225921017i</v>
      </c>
      <c r="F32">
        <f t="shared" ca="1" si="3"/>
        <v>69.486139019499433</v>
      </c>
      <c r="G32" t="str">
        <f t="shared" ca="1" si="15"/>
        <v>1.05435169168151-7.1263152229878i</v>
      </c>
      <c r="H32">
        <f t="shared" ca="1" si="16"/>
        <v>17.151341037358641</v>
      </c>
      <c r="I32">
        <f t="shared" ca="1" si="17"/>
        <v>-81.584035456003903</v>
      </c>
      <c r="K32" t="str">
        <f t="shared" ca="1" si="4"/>
        <v>1+0.0282542165696919i</v>
      </c>
      <c r="L32" t="str">
        <f t="shared" ca="1" si="5"/>
        <v>1-0.00777258692104864i</v>
      </c>
      <c r="M32" t="str">
        <f t="shared" ca="1" si="6"/>
        <v>1+9.04134930230142i</v>
      </c>
      <c r="N32" t="str">
        <f t="shared" si="7"/>
        <v>1+0.0227543856932918i</v>
      </c>
      <c r="O32">
        <f t="shared" ca="1" si="8"/>
        <v>30.873410267617786</v>
      </c>
      <c r="P32" t="str">
        <f t="shared" ca="1" si="25"/>
        <v>0.365493380327183-3.37483893386973i</v>
      </c>
      <c r="Q32">
        <f t="shared" ca="1" si="19"/>
        <v>10.615702067201756</v>
      </c>
      <c r="R32">
        <f t="shared" ca="1" si="26"/>
        <v>-83.818985673483354</v>
      </c>
      <c r="T32" t="str">
        <f t="shared" si="9"/>
        <v>1+0.3612i</v>
      </c>
      <c r="U32" t="str">
        <f t="shared" si="10"/>
        <v>1+0.021i</v>
      </c>
      <c r="V32" t="str">
        <f t="shared" si="11"/>
        <v>-0.207641196013289i</v>
      </c>
      <c r="W32" t="str">
        <f t="shared" si="21"/>
        <v>0.0706083965808288-0.209123972341486i</v>
      </c>
      <c r="X32">
        <f t="shared" si="22"/>
        <v>-13.123071482875899</v>
      </c>
      <c r="Y32">
        <f t="shared" si="23"/>
        <v>-71.343314860242828</v>
      </c>
      <c r="Z32">
        <f t="shared" si="24"/>
        <v>334.22538049298021</v>
      </c>
      <c r="AA32">
        <f t="shared" ca="1" si="12"/>
        <v>4.0282695544827423</v>
      </c>
      <c r="AB32">
        <f t="shared" ca="1" si="13"/>
        <v>-152.92735031624673</v>
      </c>
    </row>
    <row r="33" spans="1:28" x14ac:dyDescent="0.2">
      <c r="A33">
        <v>2200</v>
      </c>
      <c r="B33" t="str">
        <f t="shared" si="14"/>
        <v>2200i</v>
      </c>
      <c r="C33" t="str">
        <f t="shared" ca="1" si="0"/>
        <v>1+0.029599655453963i</v>
      </c>
      <c r="D33" t="str">
        <f t="shared" ca="1" si="1"/>
        <v>1+0.0155396798894639i</v>
      </c>
      <c r="E33" t="str">
        <f t="shared" ca="1" si="2"/>
        <v>1+10.0556785572678i</v>
      </c>
      <c r="F33">
        <f t="shared" ca="1" si="3"/>
        <v>69.486139019499433</v>
      </c>
      <c r="G33" t="str">
        <f t="shared" ca="1" si="15"/>
        <v>0.989009890795549-6.80860742087741i</v>
      </c>
      <c r="H33">
        <f t="shared" ca="1" si="16"/>
        <v>16.751849098291313</v>
      </c>
      <c r="I33">
        <f t="shared" ca="1" si="17"/>
        <v>-81.735092583066589</v>
      </c>
      <c r="K33" t="str">
        <f t="shared" ca="1" si="4"/>
        <v>1+0.029599655453963i</v>
      </c>
      <c r="L33" t="str">
        <f t="shared" ca="1" si="5"/>
        <v>1-0.00814271010776524i</v>
      </c>
      <c r="M33" t="str">
        <f t="shared" ca="1" si="6"/>
        <v>1+9.47188974526815i</v>
      </c>
      <c r="N33" t="str">
        <f t="shared" si="7"/>
        <v>1+0.0238379278691629i</v>
      </c>
      <c r="O33">
        <f t="shared" ca="1" si="8"/>
        <v>30.873410267617786</v>
      </c>
      <c r="P33" t="str">
        <f t="shared" ca="1" si="25"/>
        <v>0.332701079933174-3.224952530899i</v>
      </c>
      <c r="Q33">
        <f t="shared" ca="1" si="19"/>
        <v>10.216444011384546</v>
      </c>
      <c r="R33">
        <f t="shared" ca="1" si="26"/>
        <v>-84.109938189866668</v>
      </c>
      <c r="T33" t="str">
        <f t="shared" si="9"/>
        <v>1+0.3784i</v>
      </c>
      <c r="U33" t="str">
        <f t="shared" si="10"/>
        <v>1+0.022i</v>
      </c>
      <c r="V33" t="str">
        <f t="shared" si="11"/>
        <v>-0.198202959830867i</v>
      </c>
      <c r="W33" t="str">
        <f t="shared" si="21"/>
        <v>0.070605361888567-0.199756277792416i</v>
      </c>
      <c r="X33">
        <f t="shared" si="22"/>
        <v>-13.47872766372187</v>
      </c>
      <c r="Y33">
        <f t="shared" si="23"/>
        <v>-70.533661311335237</v>
      </c>
      <c r="Z33">
        <f t="shared" si="24"/>
        <v>350.14087480216978</v>
      </c>
      <c r="AA33">
        <f t="shared" ca="1" si="12"/>
        <v>3.2731214345694433</v>
      </c>
      <c r="AB33">
        <f t="shared" ca="1" si="13"/>
        <v>-152.26875389440181</v>
      </c>
    </row>
    <row r="34" spans="1:28" x14ac:dyDescent="0.2">
      <c r="A34">
        <v>2300</v>
      </c>
      <c r="B34" t="str">
        <f t="shared" si="14"/>
        <v>2300i</v>
      </c>
      <c r="C34" t="str">
        <f t="shared" ca="1" si="0"/>
        <v>1+0.030945094338234i</v>
      </c>
      <c r="D34" t="str">
        <f t="shared" ca="1" si="1"/>
        <v>1+0.0162460289753486i</v>
      </c>
      <c r="E34" t="str">
        <f t="shared" ca="1" si="2"/>
        <v>1+10.5127548553254i</v>
      </c>
      <c r="F34">
        <f t="shared" ca="1" si="3"/>
        <v>69.486139019499433</v>
      </c>
      <c r="G34" t="str">
        <f t="shared" ca="1" si="15"/>
        <v>0.931902214039174-6.51773057027488i</v>
      </c>
      <c r="H34">
        <f t="shared" ca="1" si="16"/>
        <v>16.36981623299317</v>
      </c>
      <c r="I34">
        <f t="shared" ca="1" si="17"/>
        <v>-81.863024360116654</v>
      </c>
      <c r="K34" t="str">
        <f t="shared" ca="1" si="4"/>
        <v>1+0.030945094338234i</v>
      </c>
      <c r="L34" t="str">
        <f t="shared" ca="1" si="5"/>
        <v>1-0.00851283329448184i</v>
      </c>
      <c r="M34" t="str">
        <f t="shared" ca="1" si="6"/>
        <v>1+9.90243018823489i</v>
      </c>
      <c r="N34" t="str">
        <f t="shared" si="7"/>
        <v>1+0.0249214700450339i</v>
      </c>
      <c r="O34">
        <f t="shared" ca="1" si="8"/>
        <v>30.873410267617786</v>
      </c>
      <c r="P34" t="str">
        <f t="shared" ca="1" si="25"/>
        <v>0.304034481529461-3.08768545872626i</v>
      </c>
      <c r="Q34">
        <f t="shared" ca="1" si="19"/>
        <v>9.8345661567355087</v>
      </c>
      <c r="R34">
        <f t="shared" ca="1" si="26"/>
        <v>-84.376396588096256</v>
      </c>
      <c r="T34" t="str">
        <f t="shared" si="9"/>
        <v>1+0.3956i</v>
      </c>
      <c r="U34" t="str">
        <f t="shared" si="10"/>
        <v>1+0.023i</v>
      </c>
      <c r="V34" t="str">
        <f t="shared" si="11"/>
        <v>-0.18958543983822i</v>
      </c>
      <c r="W34" t="str">
        <f t="shared" si="21"/>
        <v>0.0706021863271537-0.191209290123745i</v>
      </c>
      <c r="X34">
        <f t="shared" si="22"/>
        <v>-13.814743233318596</v>
      </c>
      <c r="Y34">
        <f t="shared" si="23"/>
        <v>-69.733819156736587</v>
      </c>
      <c r="Z34">
        <f t="shared" si="24"/>
        <v>366.05636911135929</v>
      </c>
      <c r="AA34">
        <f t="shared" ca="1" si="12"/>
        <v>2.5550729996745734</v>
      </c>
      <c r="AB34">
        <f t="shared" ca="1" si="13"/>
        <v>-151.59684351685326</v>
      </c>
    </row>
    <row r="35" spans="1:28" x14ac:dyDescent="0.2">
      <c r="A35">
        <v>2400</v>
      </c>
      <c r="B35" t="str">
        <f t="shared" si="14"/>
        <v>2400i</v>
      </c>
      <c r="C35" t="str">
        <f t="shared" ca="1" si="0"/>
        <v>1+0.0322905332225051i</v>
      </c>
      <c r="D35" t="str">
        <f t="shared" ca="1" si="1"/>
        <v>1+0.0169523780612333i</v>
      </c>
      <c r="E35" t="str">
        <f t="shared" ca="1" si="2"/>
        <v>1+10.9698311533831i</v>
      </c>
      <c r="F35">
        <f t="shared" ca="1" si="3"/>
        <v>69.486139019499433</v>
      </c>
      <c r="G35" t="str">
        <f t="shared" ca="1" si="15"/>
        <v>0.881704662609379-6.25045149678878i</v>
      </c>
      <c r="H35">
        <f t="shared" ca="1" si="16"/>
        <v>16.003797934813935</v>
      </c>
      <c r="I35">
        <f t="shared" ca="1" si="17"/>
        <v>-81.970688687798273</v>
      </c>
      <c r="K35" t="str">
        <f t="shared" ca="1" si="4"/>
        <v>1+0.0322905332225051i</v>
      </c>
      <c r="L35" t="str">
        <f t="shared" ca="1" si="5"/>
        <v>1-0.00888295648119844i</v>
      </c>
      <c r="M35" t="str">
        <f t="shared" ca="1" si="6"/>
        <v>1+10.3329706312016i</v>
      </c>
      <c r="N35" t="str">
        <f t="shared" si="7"/>
        <v>1+0.026005012220905i</v>
      </c>
      <c r="O35">
        <f t="shared" ca="1" si="8"/>
        <v>30.873410267617786</v>
      </c>
      <c r="P35" t="str">
        <f t="shared" ca="1" si="25"/>
        <v>0.278831408276255-2.96152438416177i</v>
      </c>
      <c r="Q35">
        <f t="shared" ca="1" si="19"/>
        <v>9.4686345290592779</v>
      </c>
      <c r="R35">
        <f t="shared" ca="1" si="26"/>
        <v>-84.621382616860373</v>
      </c>
      <c r="T35" t="str">
        <f t="shared" si="9"/>
        <v>1+0.4128i</v>
      </c>
      <c r="U35" t="str">
        <f t="shared" si="10"/>
        <v>1+0.024i</v>
      </c>
      <c r="V35" t="str">
        <f t="shared" si="11"/>
        <v>-0.181686046511628i</v>
      </c>
      <c r="W35" t="str">
        <f t="shared" si="21"/>
        <v>0.0705988699346386-0.183380419390059i</v>
      </c>
      <c r="X35">
        <f t="shared" si="22"/>
        <v>-14.132711940553605</v>
      </c>
      <c r="Y35">
        <f t="shared" si="23"/>
        <v>-68.943999591038931</v>
      </c>
      <c r="Z35">
        <f t="shared" si="24"/>
        <v>381.9718634205488</v>
      </c>
      <c r="AA35">
        <f t="shared" ca="1" si="12"/>
        <v>1.87108599426033</v>
      </c>
      <c r="AB35">
        <f t="shared" ca="1" si="13"/>
        <v>-150.91468827883722</v>
      </c>
    </row>
    <row r="36" spans="1:28" x14ac:dyDescent="0.2">
      <c r="A36">
        <v>2500</v>
      </c>
      <c r="B36" t="str">
        <f t="shared" si="14"/>
        <v>2500i</v>
      </c>
      <c r="C36" t="str">
        <f t="shared" ca="1" si="0"/>
        <v>1+0.0336359721067761i</v>
      </c>
      <c r="D36" t="str">
        <f t="shared" ca="1" si="1"/>
        <v>1+0.017658727147118i</v>
      </c>
      <c r="E36" t="str">
        <f t="shared" ca="1" si="2"/>
        <v>1+11.4269074514407i</v>
      </c>
      <c r="F36">
        <f t="shared" ca="1" si="3"/>
        <v>69.486139019499433</v>
      </c>
      <c r="G36" t="str">
        <f t="shared" ca="1" si="15"/>
        <v>0.83734839443184-6.0040320044656i</v>
      </c>
      <c r="H36">
        <f t="shared" ca="1" si="16"/>
        <v>15.652520567455905</v>
      </c>
      <c r="I36">
        <f t="shared" ca="1" si="17"/>
        <v>-82.060492578759821</v>
      </c>
      <c r="K36" t="str">
        <f t="shared" ca="1" si="4"/>
        <v>1+0.0336359721067761i</v>
      </c>
      <c r="L36" t="str">
        <f t="shared" ca="1" si="5"/>
        <v>1-0.00925307966791505i</v>
      </c>
      <c r="M36" t="str">
        <f t="shared" ca="1" si="6"/>
        <v>1+10.7635110741684i</v>
      </c>
      <c r="N36" t="str">
        <f t="shared" si="7"/>
        <v>1+0.027088554396776i</v>
      </c>
      <c r="O36">
        <f t="shared" ca="1" si="8"/>
        <v>30.873410267617786</v>
      </c>
      <c r="P36" t="str">
        <f t="shared" ca="1" si="25"/>
        <v>0.256557028192493-2.84518627613214i</v>
      </c>
      <c r="Q36">
        <f t="shared" ca="1" si="19"/>
        <v>9.1173839973052786</v>
      </c>
      <c r="R36">
        <f t="shared" ca="1" si="26"/>
        <v>-84.847442097266594</v>
      </c>
      <c r="T36" t="str">
        <f t="shared" si="9"/>
        <v>1+0.43i</v>
      </c>
      <c r="U36" t="str">
        <f t="shared" si="10"/>
        <v>1+0.025i</v>
      </c>
      <c r="V36" t="str">
        <f t="shared" si="11"/>
        <v>-0.174418604651163i</v>
      </c>
      <c r="W36" t="str">
        <f t="shared" si="21"/>
        <v>0.0705954127507518-0.176183489969932i</v>
      </c>
      <c r="X36">
        <f t="shared" si="22"/>
        <v>-14.434040341628627</v>
      </c>
      <c r="Y36">
        <f t="shared" si="23"/>
        <v>-68.164391374107723</v>
      </c>
      <c r="Z36">
        <f t="shared" si="24"/>
        <v>397.88735772973837</v>
      </c>
      <c r="AA36">
        <f t="shared" ca="1" si="12"/>
        <v>1.2184802258272782</v>
      </c>
      <c r="AB36">
        <f t="shared" ca="1" si="13"/>
        <v>-150.22488395286754</v>
      </c>
    </row>
    <row r="37" spans="1:28" x14ac:dyDescent="0.2">
      <c r="A37">
        <v>2600</v>
      </c>
      <c r="B37" t="str">
        <f t="shared" si="14"/>
        <v>2600i</v>
      </c>
      <c r="C37" t="str">
        <f t="shared" ca="1" si="0"/>
        <v>1+0.0349814109910472i</v>
      </c>
      <c r="D37" t="str">
        <f t="shared" ca="1" si="1"/>
        <v>1+0.0183650762330028i</v>
      </c>
      <c r="E37" t="str">
        <f t="shared" ca="1" si="2"/>
        <v>1+11.8839837494983i</v>
      </c>
      <c r="F37">
        <f t="shared" ca="1" si="3"/>
        <v>69.486139019499433</v>
      </c>
      <c r="G37" t="str">
        <f t="shared" ca="1" si="15"/>
        <v>0.797963047086724-5.77613845682648i</v>
      </c>
      <c r="H37">
        <f t="shared" ca="1" si="16"/>
        <v>15.314855654899354</v>
      </c>
      <c r="I37">
        <f t="shared" ca="1" si="17"/>
        <v>-82.134477505824549</v>
      </c>
      <c r="K37" t="str">
        <f t="shared" ca="1" si="4"/>
        <v>1+0.0349814109910472i</v>
      </c>
      <c r="L37" t="str">
        <f t="shared" ca="1" si="5"/>
        <v>1-0.00962320285463165i</v>
      </c>
      <c r="M37" t="str">
        <f t="shared" ca="1" si="6"/>
        <v>1+11.1940515171351i</v>
      </c>
      <c r="N37" t="str">
        <f t="shared" si="7"/>
        <v>1+0.028172096572647i</v>
      </c>
      <c r="O37">
        <f t="shared" ca="1" si="8"/>
        <v>30.873410267617786</v>
      </c>
      <c r="P37" t="str">
        <f t="shared" ca="1" si="25"/>
        <v>0.236775633507959-2.73757663785173i</v>
      </c>
      <c r="Q37">
        <f t="shared" ca="1" si="19"/>
        <v>8.779693013284577</v>
      </c>
      <c r="R37">
        <f t="shared" ca="1" si="26"/>
        <v>-85.056734828907963</v>
      </c>
      <c r="T37" t="str">
        <f t="shared" si="9"/>
        <v>1+0.4472i</v>
      </c>
      <c r="U37" t="str">
        <f t="shared" si="10"/>
        <v>1+0.026i</v>
      </c>
      <c r="V37" t="str">
        <f t="shared" si="11"/>
        <v>-0.167710196779964i</v>
      </c>
      <c r="W37" t="str">
        <f t="shared" si="21"/>
        <v>0.0705918148169046-0.169545583965204i</v>
      </c>
      <c r="X37">
        <f t="shared" si="22"/>
        <v>-14.719977016821421</v>
      </c>
      <c r="Y37">
        <f t="shared" si="23"/>
        <v>-67.39516131503639</v>
      </c>
      <c r="Z37">
        <f t="shared" si="24"/>
        <v>413.80285203892788</v>
      </c>
      <c r="AA37">
        <f t="shared" ca="1" si="12"/>
        <v>0.59487863807793318</v>
      </c>
      <c r="AB37">
        <f t="shared" ca="1" si="13"/>
        <v>-149.52963882086095</v>
      </c>
    </row>
    <row r="38" spans="1:28" x14ac:dyDescent="0.2">
      <c r="A38">
        <v>2700</v>
      </c>
      <c r="B38" t="str">
        <f t="shared" si="14"/>
        <v>2700i</v>
      </c>
      <c r="C38" t="str">
        <f t="shared" ca="1" si="0"/>
        <v>1+0.0363268498753182i</v>
      </c>
      <c r="D38" t="str">
        <f t="shared" ca="1" si="1"/>
        <v>1+0.0190714253188875i</v>
      </c>
      <c r="E38" t="str">
        <f t="shared" ca="1" si="2"/>
        <v>1+12.3410600475559i</v>
      </c>
      <c r="F38">
        <f t="shared" ca="1" si="3"/>
        <v>69.486139019499433</v>
      </c>
      <c r="G38" t="str">
        <f t="shared" ca="1" si="15"/>
        <v>0.762834191012313-5.56477030602662i</v>
      </c>
      <c r="H38">
        <f t="shared" ca="1" si="16"/>
        <v>14.989798792446972</v>
      </c>
      <c r="I38">
        <f t="shared" ca="1" si="17"/>
        <v>-82.194386113304134</v>
      </c>
      <c r="K38" t="str">
        <f t="shared" ca="1" si="4"/>
        <v>1+0.0363268498753182i</v>
      </c>
      <c r="L38" t="str">
        <f t="shared" ca="1" si="5"/>
        <v>1-0.00999332604134825i</v>
      </c>
      <c r="M38" t="str">
        <f t="shared" ca="1" si="6"/>
        <v>1+11.6245919601018i</v>
      </c>
      <c r="N38" t="str">
        <f t="shared" si="7"/>
        <v>1+0.0292556387485181i</v>
      </c>
      <c r="O38">
        <f t="shared" ca="1" si="8"/>
        <v>30.873410267617786</v>
      </c>
      <c r="P38" t="str">
        <f t="shared" ca="1" si="25"/>
        <v>0.219129437794569-2.63775641703204i</v>
      </c>
      <c r="Q38">
        <f t="shared" ca="1" si="19"/>
        <v>8.4545628605077301</v>
      </c>
      <c r="R38">
        <f t="shared" ca="1" si="26"/>
        <v>-85.251104907929331</v>
      </c>
      <c r="T38" t="str">
        <f t="shared" si="9"/>
        <v>1+0.4644i</v>
      </c>
      <c r="U38" t="str">
        <f t="shared" si="10"/>
        <v>1+0.027i</v>
      </c>
      <c r="V38" t="str">
        <f t="shared" si="11"/>
        <v>-0.161498708010336i</v>
      </c>
      <c r="W38" t="str">
        <f t="shared" si="21"/>
        <v>0.0705880761761885-0.163404586067093i</v>
      </c>
      <c r="X38">
        <f t="shared" si="22"/>
        <v>-14.991636243960942</v>
      </c>
      <c r="Y38">
        <f t="shared" si="23"/>
        <v>-66.636454835180331</v>
      </c>
      <c r="Z38">
        <f t="shared" si="24"/>
        <v>429.71834634811745</v>
      </c>
      <c r="AA38">
        <f t="shared" ca="1" si="12"/>
        <v>-1.8374515139694125E-3</v>
      </c>
      <c r="AB38">
        <f t="shared" ca="1" si="13"/>
        <v>-148.83084094848448</v>
      </c>
    </row>
    <row r="39" spans="1:28" x14ac:dyDescent="0.2">
      <c r="A39">
        <v>2800</v>
      </c>
      <c r="B39" t="str">
        <f t="shared" si="14"/>
        <v>2800i</v>
      </c>
      <c r="C39" t="str">
        <f t="shared" ca="1" si="0"/>
        <v>1+0.0376722887595893i</v>
      </c>
      <c r="D39" t="str">
        <f t="shared" ca="1" si="1"/>
        <v>1+0.0197777744047722i</v>
      </c>
      <c r="E39" t="str">
        <f t="shared" ca="1" si="2"/>
        <v>1+12.7981363456136i</v>
      </c>
      <c r="F39">
        <f t="shared" ca="1" si="3"/>
        <v>69.486139019499433</v>
      </c>
      <c r="G39" t="str">
        <f t="shared" ca="1" si="15"/>
        <v>0.731371033964981-5.36820313619837i</v>
      </c>
      <c r="H39">
        <f t="shared" ca="1" si="16"/>
        <v>14.676452225004201</v>
      </c>
      <c r="I39">
        <f t="shared" ca="1" si="17"/>
        <v>-82.241714862707326</v>
      </c>
      <c r="K39" t="str">
        <f t="shared" ca="1" si="4"/>
        <v>1+0.0376722887595893i</v>
      </c>
      <c r="L39" t="str">
        <f t="shared" ca="1" si="5"/>
        <v>1-0.0103634492280649i</v>
      </c>
      <c r="M39" t="str">
        <f t="shared" ca="1" si="6"/>
        <v>1+12.0551324030686i</v>
      </c>
      <c r="N39" t="str">
        <f t="shared" si="7"/>
        <v>1+0.0303391809243891i</v>
      </c>
      <c r="O39">
        <f t="shared" ca="1" si="8"/>
        <v>30.873410267617786</v>
      </c>
      <c r="P39" t="str">
        <f t="shared" ca="1" si="25"/>
        <v>0.203322469686377-2.5449155839878i</v>
      </c>
      <c r="Q39">
        <f t="shared" ca="1" si="19"/>
        <v>8.141100488968501</v>
      </c>
      <c r="R39">
        <f t="shared" ca="1" si="26"/>
        <v>-85.432136249814633</v>
      </c>
      <c r="T39" t="str">
        <f t="shared" si="9"/>
        <v>1+0.4816i</v>
      </c>
      <c r="U39" t="str">
        <f t="shared" si="10"/>
        <v>1+0.028i</v>
      </c>
      <c r="V39" t="str">
        <f t="shared" si="11"/>
        <v>-0.155730897009967i</v>
      </c>
      <c r="W39" t="str">
        <f t="shared" si="21"/>
        <v>0.0705841968733723-0.157707254522421i</v>
      </c>
      <c r="X39">
        <f t="shared" si="22"/>
        <v>-15.250017342226913</v>
      </c>
      <c r="Y39">
        <f t="shared" si="23"/>
        <v>-65.888396600567177</v>
      </c>
      <c r="Z39">
        <f t="shared" si="24"/>
        <v>445.63384065730696</v>
      </c>
      <c r="AA39">
        <f t="shared" ca="1" si="12"/>
        <v>-0.57356511722271186</v>
      </c>
      <c r="AB39">
        <f t="shared" ca="1" si="13"/>
        <v>-148.13011146327449</v>
      </c>
    </row>
    <row r="40" spans="1:28" x14ac:dyDescent="0.2">
      <c r="A40">
        <v>2900</v>
      </c>
      <c r="B40" t="str">
        <f t="shared" si="14"/>
        <v>2900i</v>
      </c>
      <c r="C40" t="str">
        <f t="shared" ca="1" si="0"/>
        <v>1+0.0390177276438603i</v>
      </c>
      <c r="D40" t="str">
        <f t="shared" ca="1" si="1"/>
        <v>1+0.0204841234906569i</v>
      </c>
      <c r="E40" t="str">
        <f t="shared" ca="1" si="2"/>
        <v>1+13.2552126436712i</v>
      </c>
      <c r="F40">
        <f t="shared" ca="1" si="3"/>
        <v>69.486139019499433</v>
      </c>
      <c r="G40" t="str">
        <f t="shared" ca="1" si="15"/>
        <v>0.703081653488424-5.18494292300239i</v>
      </c>
      <c r="H40">
        <f t="shared" ca="1" si="16"/>
        <v>14.374010358814003</v>
      </c>
      <c r="I40">
        <f t="shared" ca="1" si="17"/>
        <v>-82.277755948602987</v>
      </c>
      <c r="K40" t="str">
        <f t="shared" ca="1" si="4"/>
        <v>1+0.0390177276438603i</v>
      </c>
      <c r="L40" t="str">
        <f t="shared" ca="1" si="5"/>
        <v>1-0.0107335724147815i</v>
      </c>
      <c r="M40" t="str">
        <f t="shared" ca="1" si="6"/>
        <v>1+12.4856728460353i</v>
      </c>
      <c r="N40" t="str">
        <f t="shared" si="7"/>
        <v>1+0.0314227231002602i</v>
      </c>
      <c r="O40">
        <f t="shared" ca="1" si="8"/>
        <v>30.873410267617786</v>
      </c>
      <c r="P40" t="str">
        <f t="shared" ca="1" si="25"/>
        <v>0.189108212732762-2.45835187630688i</v>
      </c>
      <c r="Q40">
        <f t="shared" ca="1" si="19"/>
        <v>7.8385042236552955</v>
      </c>
      <c r="R40">
        <f t="shared" ca="1" si="26"/>
        <v>-85.601196817716897</v>
      </c>
      <c r="T40" t="str">
        <f t="shared" si="9"/>
        <v>1+0.4988i</v>
      </c>
      <c r="U40" t="str">
        <f t="shared" si="10"/>
        <v>1+0.029i</v>
      </c>
      <c r="V40" t="str">
        <f t="shared" si="11"/>
        <v>-0.150360866078589i</v>
      </c>
      <c r="W40" t="str">
        <f t="shared" si="21"/>
        <v>0.0705801769549021-0.152407691210281i</v>
      </c>
      <c r="X40">
        <f t="shared" si="22"/>
        <v>-15.49602060148754</v>
      </c>
      <c r="Y40">
        <f t="shared" si="23"/>
        <v>-65.151091214097065</v>
      </c>
      <c r="Z40">
        <f t="shared" si="24"/>
        <v>461.54933496649647</v>
      </c>
      <c r="AA40">
        <f t="shared" ca="1" si="12"/>
        <v>-1.1220102426735377</v>
      </c>
      <c r="AB40">
        <f t="shared" ca="1" si="13"/>
        <v>-147.42884716270004</v>
      </c>
    </row>
    <row r="41" spans="1:28" x14ac:dyDescent="0.2">
      <c r="A41">
        <v>3000</v>
      </c>
      <c r="B41" t="str">
        <f t="shared" si="14"/>
        <v>3000i</v>
      </c>
      <c r="C41" t="str">
        <f t="shared" ca="1" si="0"/>
        <v>1+0.0403631665281313i</v>
      </c>
      <c r="D41" t="str">
        <f t="shared" ca="1" si="1"/>
        <v>1+0.0211904725765416i</v>
      </c>
      <c r="E41" t="str">
        <f t="shared" ca="1" si="2"/>
        <v>1+13.7122889417288i</v>
      </c>
      <c r="F41">
        <f t="shared" ca="1" si="3"/>
        <v>69.486139019499433</v>
      </c>
      <c r="G41" t="str">
        <f t="shared" ca="1" si="15"/>
        <v>0.677553820299658-5.0136890335377i</v>
      </c>
      <c r="H41">
        <f t="shared" ca="1" si="16"/>
        <v>14.081747637299976</v>
      </c>
      <c r="I41">
        <f t="shared" ca="1" si="17"/>
        <v>-82.303630947577048</v>
      </c>
      <c r="K41" t="str">
        <f t="shared" ca="1" si="4"/>
        <v>1+0.0403631665281313i</v>
      </c>
      <c r="L41" t="str">
        <f t="shared" ca="1" si="5"/>
        <v>1-0.0111036956014981i</v>
      </c>
      <c r="M41" t="str">
        <f t="shared" ca="1" si="6"/>
        <v>1+12.916213289002i</v>
      </c>
      <c r="N41" t="str">
        <f t="shared" si="7"/>
        <v>1+0.0325062652761312i</v>
      </c>
      <c r="O41">
        <f t="shared" ca="1" si="8"/>
        <v>30.873410267617786</v>
      </c>
      <c r="P41" t="str">
        <f t="shared" ca="1" si="25"/>
        <v>0.176280029716727-2.37745357900724i</v>
      </c>
      <c r="Q41">
        <f t="shared" ca="1" si="19"/>
        <v>7.5460517927973738</v>
      </c>
      <c r="R41">
        <f t="shared" ca="1" si="26"/>
        <v>-85.759474143399387</v>
      </c>
      <c r="T41" t="str">
        <f t="shared" si="9"/>
        <v>1+0.516i</v>
      </c>
      <c r="U41" t="str">
        <f t="shared" si="10"/>
        <v>1+0.03i</v>
      </c>
      <c r="V41" t="str">
        <f t="shared" si="11"/>
        <v>-0.145348837209302i</v>
      </c>
      <c r="W41" t="str">
        <f t="shared" si="21"/>
        <v>0.0705760164688987-0.147466117703369i</v>
      </c>
      <c r="X41">
        <f t="shared" si="22"/>
        <v>-15.730460494961569</v>
      </c>
      <c r="Y41">
        <f t="shared" si="23"/>
        <v>-64.424623958176241</v>
      </c>
      <c r="Z41">
        <f t="shared" si="24"/>
        <v>477.46482927568604</v>
      </c>
      <c r="AA41">
        <f t="shared" ca="1" si="12"/>
        <v>-1.648712857661593</v>
      </c>
      <c r="AB41">
        <f t="shared" ca="1" si="13"/>
        <v>-146.72825490575329</v>
      </c>
    </row>
    <row r="42" spans="1:28" x14ac:dyDescent="0.2">
      <c r="A42">
        <v>3100</v>
      </c>
      <c r="B42" t="str">
        <f t="shared" si="14"/>
        <v>3100i</v>
      </c>
      <c r="C42" t="str">
        <f t="shared" ca="1" si="0"/>
        <v>1+0.0417086054124024i</v>
      </c>
      <c r="D42" t="str">
        <f t="shared" ca="1" si="1"/>
        <v>1+0.0218968216624264i</v>
      </c>
      <c r="E42" t="str">
        <f t="shared" ca="1" si="2"/>
        <v>1+14.1693652397864i</v>
      </c>
      <c r="F42">
        <f t="shared" ca="1" si="3"/>
        <v>69.486139019499433</v>
      </c>
      <c r="G42" t="str">
        <f t="shared" ca="1" si="15"/>
        <v>0.654440017785601-4.85330409142029i</v>
      </c>
      <c r="H42">
        <f t="shared" ca="1" si="16"/>
        <v>13.799008335647091</v>
      </c>
      <c r="I42">
        <f t="shared" ca="1" si="17"/>
        <v>-82.320318038737682</v>
      </c>
      <c r="K42" t="str">
        <f t="shared" ca="1" si="4"/>
        <v>1+0.0417086054124024i</v>
      </c>
      <c r="L42" t="str">
        <f t="shared" ca="1" si="5"/>
        <v>1-0.0114738187882147i</v>
      </c>
      <c r="M42" t="str">
        <f t="shared" ca="1" si="6"/>
        <v>1+13.3467537319688i</v>
      </c>
      <c r="N42" t="str">
        <f t="shared" si="7"/>
        <v>1+0.0335898074520022i</v>
      </c>
      <c r="O42">
        <f t="shared" ca="1" si="8"/>
        <v>30.873410267617786</v>
      </c>
      <c r="P42" t="str">
        <f t="shared" ca="1" si="25"/>
        <v>0.164663678304986-2.30168548087443i</v>
      </c>
      <c r="Q42">
        <f t="shared" ca="1" si="19"/>
        <v>7.2630902415310157</v>
      </c>
      <c r="R42">
        <f t="shared" ca="1" si="26"/>
        <v>-85.908004073397876</v>
      </c>
      <c r="T42" t="str">
        <f t="shared" si="9"/>
        <v>1+0.5332i</v>
      </c>
      <c r="U42" t="str">
        <f t="shared" si="10"/>
        <v>1+0.031i</v>
      </c>
      <c r="V42" t="str">
        <f t="shared" si="11"/>
        <v>-0.14066016504126i</v>
      </c>
      <c r="W42" t="str">
        <f t="shared" si="21"/>
        <v>0.0705717154651587-0.14284788822068i</v>
      </c>
      <c r="X42">
        <f t="shared" si="22"/>
        <v>-15.95407671261677</v>
      </c>
      <c r="Y42">
        <f t="shared" si="23"/>
        <v>-63.709061578756341</v>
      </c>
      <c r="Z42">
        <f t="shared" si="24"/>
        <v>493.38032358487555</v>
      </c>
      <c r="AA42">
        <f t="shared" ca="1" si="12"/>
        <v>-2.1550683769696786</v>
      </c>
      <c r="AB42">
        <f t="shared" ca="1" si="13"/>
        <v>-146.02937961749402</v>
      </c>
    </row>
    <row r="43" spans="1:28" x14ac:dyDescent="0.2">
      <c r="A43">
        <v>3200</v>
      </c>
      <c r="B43" t="str">
        <f t="shared" si="14"/>
        <v>3200i</v>
      </c>
      <c r="C43" t="str">
        <f t="shared" ca="1" si="0"/>
        <v>1+0.0430540442966734i</v>
      </c>
      <c r="D43" t="str">
        <f t="shared" ca="1" si="1"/>
        <v>1+0.0226031707483111i</v>
      </c>
      <c r="E43" t="str">
        <f t="shared" ca="1" si="2"/>
        <v>1+14.6264415378441i</v>
      </c>
      <c r="F43">
        <f t="shared" ca="1" si="3"/>
        <v>69.486139019499433</v>
      </c>
      <c r="G43" t="str">
        <f t="shared" ca="1" si="15"/>
        <v>0.633445641785259-4.70278927472526i</v>
      </c>
      <c r="H43">
        <f t="shared" ca="1" si="16"/>
        <v>13.525197923024912</v>
      </c>
      <c r="I43">
        <f t="shared" ca="1" si="17"/>
        <v>-82.328674182105999</v>
      </c>
      <c r="K43" t="str">
        <f t="shared" ca="1" si="4"/>
        <v>1+0.0430540442966734i</v>
      </c>
      <c r="L43" t="str">
        <f t="shared" ca="1" si="5"/>
        <v>1-0.0118439419749313i</v>
      </c>
      <c r="M43" t="str">
        <f t="shared" ca="1" si="6"/>
        <v>1+13.7772941749355i</v>
      </c>
      <c r="N43" t="str">
        <f t="shared" si="7"/>
        <v>1+0.0346733496278733i</v>
      </c>
      <c r="O43">
        <f t="shared" ca="1" si="8"/>
        <v>30.873410267617786</v>
      </c>
      <c r="P43" t="str">
        <f t="shared" ca="1" si="25"/>
        <v>0.154111412782777-2.23057734886315i</v>
      </c>
      <c r="Q43">
        <f t="shared" ca="1" si="19"/>
        <v>6.98902738795117</v>
      </c>
      <c r="R43">
        <f t="shared" ca="1" si="26"/>
        <v>-86.047694198753632</v>
      </c>
      <c r="T43" t="str">
        <f t="shared" si="9"/>
        <v>1+0.5504i</v>
      </c>
      <c r="U43" t="str">
        <f t="shared" si="10"/>
        <v>1+0.032i</v>
      </c>
      <c r="V43" t="str">
        <f t="shared" si="11"/>
        <v>-0.136264534883721i</v>
      </c>
      <c r="W43" t="str">
        <f t="shared" si="21"/>
        <v>0.0705672739951499-0.138522687651566i</v>
      </c>
      <c r="X43">
        <f t="shared" si="22"/>
        <v>-16.16754343308747</v>
      </c>
      <c r="Y43">
        <f t="shared" si="23"/>
        <v>-63.004453102163197</v>
      </c>
      <c r="Z43">
        <f t="shared" si="24"/>
        <v>509.29581789406507</v>
      </c>
      <c r="AA43">
        <f t="shared" ca="1" si="12"/>
        <v>-2.6423455100625581</v>
      </c>
      <c r="AB43">
        <f t="shared" ca="1" si="13"/>
        <v>-145.33312728426921</v>
      </c>
    </row>
    <row r="44" spans="1:28" x14ac:dyDescent="0.2">
      <c r="A44">
        <v>3300</v>
      </c>
      <c r="B44" t="str">
        <f t="shared" si="14"/>
        <v>3300i</v>
      </c>
      <c r="C44" t="str">
        <f t="shared" ca="1" si="0"/>
        <v>1+0.0443994831809445i</v>
      </c>
      <c r="D44" t="str">
        <f t="shared" ca="1" si="1"/>
        <v>1+0.0233095198341958i</v>
      </c>
      <c r="E44" t="str">
        <f t="shared" ca="1" si="2"/>
        <v>1+15.0835178359017i</v>
      </c>
      <c r="F44">
        <f t="shared" ca="1" si="3"/>
        <v>69.486139019499433</v>
      </c>
      <c r="G44" t="str">
        <f t="shared" ca="1" si="15"/>
        <v>0.614319632935103-4.56126394393946i</v>
      </c>
      <c r="H44">
        <f t="shared" ca="1" si="16"/>
        <v>13.259775713651241</v>
      </c>
      <c r="I44">
        <f t="shared" ca="1" si="17"/>
        <v>-82.329453310271646</v>
      </c>
      <c r="K44" t="str">
        <f t="shared" ca="1" si="4"/>
        <v>1+0.0443994831809445i</v>
      </c>
      <c r="L44" t="str">
        <f t="shared" ca="1" si="5"/>
        <v>1-0.0122140651616479i</v>
      </c>
      <c r="M44" t="str">
        <f t="shared" ca="1" si="6"/>
        <v>1+14.2078346179022i</v>
      </c>
      <c r="N44" t="str">
        <f t="shared" si="7"/>
        <v>1+0.0357568918037443i</v>
      </c>
      <c r="O44">
        <f t="shared" ca="1" si="8"/>
        <v>30.873410267617786</v>
      </c>
      <c r="P44" t="str">
        <f t="shared" ca="1" si="25"/>
        <v>0.144497299680534-2.16371441262341i</v>
      </c>
      <c r="Q44">
        <f t="shared" ca="1" si="19"/>
        <v>6.7233245486748441</v>
      </c>
      <c r="R44">
        <f t="shared" ca="1" si="26"/>
        <v>-86.179343079210312</v>
      </c>
      <c r="T44" t="str">
        <f t="shared" si="9"/>
        <v>1+0.5676i</v>
      </c>
      <c r="U44" t="str">
        <f t="shared" si="10"/>
        <v>1+0.033i</v>
      </c>
      <c r="V44" t="str">
        <f t="shared" si="11"/>
        <v>-0.132135306553911i</v>
      </c>
      <c r="W44" t="str">
        <f t="shared" si="21"/>
        <v>0.0705626921120109-0.134463875393607i</v>
      </c>
      <c r="X44">
        <f t="shared" si="22"/>
        <v>-16.371477161714488</v>
      </c>
      <c r="Y44">
        <f t="shared" si="23"/>
        <v>-62.31083067657562</v>
      </c>
      <c r="Z44">
        <f t="shared" si="24"/>
        <v>525.21131220325458</v>
      </c>
      <c r="AA44">
        <f t="shared" ca="1" si="12"/>
        <v>-3.111701448063247</v>
      </c>
      <c r="AB44">
        <f t="shared" ca="1" si="13"/>
        <v>-144.64028398684727</v>
      </c>
    </row>
    <row r="45" spans="1:28" x14ac:dyDescent="0.2">
      <c r="A45">
        <v>3400</v>
      </c>
      <c r="B45" t="str">
        <f t="shared" si="14"/>
        <v>3400i</v>
      </c>
      <c r="C45" t="str">
        <f t="shared" ca="1" si="0"/>
        <v>1+0.0457449220652155i</v>
      </c>
      <c r="D45" t="str">
        <f t="shared" ca="1" si="1"/>
        <v>1+0.0240158689200805i</v>
      </c>
      <c r="E45" t="str">
        <f t="shared" ca="1" si="2"/>
        <v>1+15.5405941339593i</v>
      </c>
      <c r="F45">
        <f t="shared" ca="1" si="3"/>
        <v>69.486139019499433</v>
      </c>
      <c r="G45" t="str">
        <f t="shared" ca="1" si="15"/>
        <v>0.596846985693243-4.42794874422118i</v>
      </c>
      <c r="H45">
        <f t="shared" ca="1" si="16"/>
        <v>13.00224858376162</v>
      </c>
      <c r="I45">
        <f t="shared" ca="1" si="17"/>
        <v>-82.323321343919034</v>
      </c>
      <c r="K45" t="str">
        <f t="shared" ca="1" si="4"/>
        <v>1+0.0457449220652155i</v>
      </c>
      <c r="L45" t="str">
        <f t="shared" ca="1" si="5"/>
        <v>1-0.0125841883483645i</v>
      </c>
      <c r="M45" t="str">
        <f t="shared" ca="1" si="6"/>
        <v>1+14.638375060869i</v>
      </c>
      <c r="N45" t="str">
        <f t="shared" si="7"/>
        <v>1+0.0368404339796154i</v>
      </c>
      <c r="O45">
        <f t="shared" ca="1" si="8"/>
        <v>30.873410267617786</v>
      </c>
      <c r="P45" t="str">
        <f t="shared" ca="1" si="25"/>
        <v>0.135713470394259-2.10072946421884i</v>
      </c>
      <c r="Q45">
        <f t="shared" ca="1" si="19"/>
        <v>6.4654903153985464</v>
      </c>
      <c r="R45">
        <f t="shared" ca="1" si="26"/>
        <v>-86.303656115594791</v>
      </c>
      <c r="T45" t="str">
        <f t="shared" si="9"/>
        <v>1+0.5848i</v>
      </c>
      <c r="U45" t="str">
        <f t="shared" si="10"/>
        <v>1+0.034i</v>
      </c>
      <c r="V45" t="str">
        <f t="shared" si="11"/>
        <v>-0.128248974008208i</v>
      </c>
      <c r="W45" t="str">
        <f t="shared" si="21"/>
        <v>0.0705579698705506-0.130647944983807i</v>
      </c>
      <c r="X45">
        <f t="shared" si="22"/>
        <v>-16.56644339367201</v>
      </c>
      <c r="Y45">
        <f t="shared" si="23"/>
        <v>-61.628210430546808</v>
      </c>
      <c r="Z45">
        <f t="shared" si="24"/>
        <v>541.1268065124442</v>
      </c>
      <c r="AA45">
        <f t="shared" ca="1" si="12"/>
        <v>-3.5641948099103899</v>
      </c>
      <c r="AB45">
        <f t="shared" ca="1" si="13"/>
        <v>-143.95153177446585</v>
      </c>
    </row>
    <row r="46" spans="1:28" x14ac:dyDescent="0.2">
      <c r="A46">
        <v>3500</v>
      </c>
      <c r="B46" t="str">
        <f t="shared" si="14"/>
        <v>3500i</v>
      </c>
      <c r="C46" t="str">
        <f t="shared" ca="1" si="0"/>
        <v>1+0.0470903609494866i</v>
      </c>
      <c r="D46" t="str">
        <f t="shared" ca="1" si="1"/>
        <v>1+0.0247222180059652i</v>
      </c>
      <c r="E46" t="str">
        <f t="shared" ca="1" si="2"/>
        <v>1+15.9976704320169i</v>
      </c>
      <c r="F46">
        <f t="shared" ca="1" si="3"/>
        <v>69.486139019499433</v>
      </c>
      <c r="G46" t="str">
        <f t="shared" ca="1" si="15"/>
        <v>0.58084271690157-4.30215151318131i</v>
      </c>
      <c r="H46">
        <f t="shared" ca="1" si="16"/>
        <v>12.752165575053859</v>
      </c>
      <c r="I46">
        <f t="shared" ca="1" si="17"/>
        <v>-82.310868659032508</v>
      </c>
      <c r="K46" t="str">
        <f t="shared" ca="1" si="4"/>
        <v>1+0.0470903609494866i</v>
      </c>
      <c r="L46" t="str">
        <f t="shared" ca="1" si="5"/>
        <v>1-0.0129543115350811i</v>
      </c>
      <c r="M46" t="str">
        <f t="shared" ca="1" si="6"/>
        <v>1+15.0689155038357i</v>
      </c>
      <c r="N46" t="str">
        <f t="shared" si="7"/>
        <v>1+0.0379239761554864i</v>
      </c>
      <c r="O46">
        <f t="shared" ca="1" si="8"/>
        <v>30.873410267617786</v>
      </c>
      <c r="P46" t="str">
        <f t="shared" ca="1" si="25"/>
        <v>0.127667102879098-2.04129626379653i</v>
      </c>
      <c r="Q46">
        <f t="shared" ca="1" si="19"/>
        <v>6.2150752063289243</v>
      </c>
      <c r="R46">
        <f t="shared" ca="1" si="26"/>
        <v>-86.421258731921</v>
      </c>
      <c r="T46" t="str">
        <f t="shared" si="9"/>
        <v>1+0.602i</v>
      </c>
      <c r="U46" t="str">
        <f t="shared" si="10"/>
        <v>1+0.035i</v>
      </c>
      <c r="V46" t="str">
        <f t="shared" si="11"/>
        <v>-0.124584717607973i</v>
      </c>
      <c r="W46" t="str">
        <f t="shared" si="21"/>
        <v>0.0705531073272448-0.127054076364427i</v>
      </c>
      <c r="X46">
        <f t="shared" si="22"/>
        <v>-16.752962308426433</v>
      </c>
      <c r="Y46">
        <f t="shared" si="23"/>
        <v>-60.956593341521241</v>
      </c>
      <c r="Z46">
        <f t="shared" si="24"/>
        <v>557.04230082163372</v>
      </c>
      <c r="AA46">
        <f t="shared" ca="1" si="12"/>
        <v>-4.0007967333725745</v>
      </c>
      <c r="AB46">
        <f t="shared" ca="1" si="13"/>
        <v>-143.26746200055373</v>
      </c>
    </row>
    <row r="47" spans="1:28" x14ac:dyDescent="0.2">
      <c r="A47">
        <v>3600</v>
      </c>
      <c r="B47" t="str">
        <f t="shared" si="14"/>
        <v>3600i</v>
      </c>
      <c r="C47" t="str">
        <f t="shared" ca="1" si="0"/>
        <v>1+0.0484357998337576i</v>
      </c>
      <c r="D47" t="str">
        <f t="shared" ca="1" si="1"/>
        <v>1+0.02542856709185i</v>
      </c>
      <c r="E47" t="str">
        <f t="shared" ca="1" si="2"/>
        <v>1+16.4547467300746i</v>
      </c>
      <c r="F47">
        <f t="shared" ca="1" si="3"/>
        <v>69.486139019499433</v>
      </c>
      <c r="G47" t="str">
        <f t="shared" ca="1" si="15"/>
        <v>0.566146978100358-4.18325546785839i</v>
      </c>
      <c r="H47">
        <f t="shared" ca="1" si="16"/>
        <v>12.509113239287341</v>
      </c>
      <c r="I47">
        <f t="shared" ca="1" si="17"/>
        <v>-82.292620495840438</v>
      </c>
      <c r="K47" t="str">
        <f t="shared" ca="1" si="4"/>
        <v>1+0.0484357998337576i</v>
      </c>
      <c r="L47" t="str">
        <f t="shared" ca="1" si="5"/>
        <v>1-0.0133244347217977i</v>
      </c>
      <c r="M47" t="str">
        <f t="shared" ca="1" si="6"/>
        <v>1+15.4994559468024i</v>
      </c>
      <c r="N47" t="str">
        <f t="shared" si="7"/>
        <v>1+0.0390075183313574i</v>
      </c>
      <c r="O47">
        <f t="shared" ca="1" si="8"/>
        <v>30.873410267617786</v>
      </c>
      <c r="P47" t="str">
        <f t="shared" ca="1" si="25"/>
        <v>0.12027797492395-1.98512400743407i</v>
      </c>
      <c r="Q47">
        <f t="shared" ca="1" si="19"/>
        <v>5.9716670496738882</v>
      </c>
      <c r="R47">
        <f t="shared" ca="1" si="26"/>
        <v>-86.532707383841768</v>
      </c>
      <c r="T47" t="str">
        <f t="shared" si="9"/>
        <v>1+0.6192i</v>
      </c>
      <c r="U47" t="str">
        <f t="shared" si="10"/>
        <v>1+0.036i</v>
      </c>
      <c r="V47" t="str">
        <f t="shared" si="11"/>
        <v>-0.121124031007752i</v>
      </c>
      <c r="W47" t="str">
        <f t="shared" si="21"/>
        <v>0.0705481045402368-0.123663762771201i</v>
      </c>
      <c r="X47">
        <f t="shared" si="22"/>
        <v>-16.931513660930261</v>
      </c>
      <c r="Y47">
        <f t="shared" si="23"/>
        <v>-60.295966107897677</v>
      </c>
      <c r="Z47">
        <f t="shared" si="24"/>
        <v>572.95779513082323</v>
      </c>
      <c r="AA47">
        <f t="shared" ca="1" si="12"/>
        <v>-4.4224004216429194</v>
      </c>
      <c r="AB47">
        <f t="shared" ca="1" si="13"/>
        <v>-142.58858660373812</v>
      </c>
    </row>
    <row r="48" spans="1:28" x14ac:dyDescent="0.2">
      <c r="A48">
        <v>3700</v>
      </c>
      <c r="B48" t="str">
        <f t="shared" si="14"/>
        <v>3700i</v>
      </c>
      <c r="C48" t="str">
        <f t="shared" ca="1" si="0"/>
        <v>1+0.0497812387180287i</v>
      </c>
      <c r="D48" t="str">
        <f t="shared" ca="1" si="1"/>
        <v>1+0.0261349161777347i</v>
      </c>
      <c r="E48" t="str">
        <f t="shared" ca="1" si="2"/>
        <v>1+16.9118230281322i</v>
      </c>
      <c r="F48">
        <f t="shared" ca="1" si="3"/>
        <v>69.486139019499433</v>
      </c>
      <c r="G48" t="str">
        <f t="shared" ca="1" si="15"/>
        <v>0.552621070555693-4.07070925394197i</v>
      </c>
      <c r="H48">
        <f t="shared" ca="1" si="16"/>
        <v>12.272711605651544</v>
      </c>
      <c r="I48">
        <f t="shared" ca="1" si="17"/>
        <v>-82.269045694858917</v>
      </c>
      <c r="K48" t="str">
        <f t="shared" ca="1" si="4"/>
        <v>1+0.0497812387180287i</v>
      </c>
      <c r="L48" t="str">
        <f t="shared" ca="1" si="5"/>
        <v>1-0.0136945579085143i</v>
      </c>
      <c r="M48" t="str">
        <f t="shared" ca="1" si="6"/>
        <v>1+15.9299963897692i</v>
      </c>
      <c r="N48" t="str">
        <f t="shared" si="7"/>
        <v>1+0.0400910605072285i</v>
      </c>
      <c r="O48">
        <f t="shared" ca="1" si="8"/>
        <v>30.873410267617786</v>
      </c>
      <c r="P48" t="str">
        <f t="shared" ca="1" si="25"/>
        <v>0.113476468729446-1.93195266376232i</v>
      </c>
      <c r="Q48">
        <f t="shared" ca="1" si="19"/>
        <v>5.7348869827251026</v>
      </c>
      <c r="R48">
        <f t="shared" ca="1" si="26"/>
        <v>-86.638498799870447</v>
      </c>
      <c r="T48" t="str">
        <f t="shared" si="9"/>
        <v>1+0.6364i</v>
      </c>
      <c r="U48" t="str">
        <f t="shared" si="10"/>
        <v>1+0.037i</v>
      </c>
      <c r="V48" t="str">
        <f t="shared" si="11"/>
        <v>-0.117850408548083i</v>
      </c>
      <c r="W48" t="str">
        <f t="shared" si="21"/>
        <v>0.0705429615693325-0.120460498126148i</v>
      </c>
      <c r="X48">
        <f t="shared" si="22"/>
        <v>-17.102541003074695</v>
      </c>
      <c r="Y48">
        <f t="shared" si="23"/>
        <v>-59.646302018780204</v>
      </c>
      <c r="Z48">
        <f t="shared" si="24"/>
        <v>588.87328944001274</v>
      </c>
      <c r="AA48">
        <f t="shared" ca="1" si="12"/>
        <v>-4.8298293974231505</v>
      </c>
      <c r="AB48">
        <f t="shared" ca="1" si="13"/>
        <v>-141.91534771363911</v>
      </c>
    </row>
    <row r="49" spans="1:28" x14ac:dyDescent="0.2">
      <c r="A49">
        <v>3800</v>
      </c>
      <c r="B49" t="str">
        <f t="shared" si="14"/>
        <v>3800i</v>
      </c>
      <c r="C49" t="str">
        <f t="shared" ca="1" si="0"/>
        <v>1+0.0511266776022997i</v>
      </c>
      <c r="D49" t="str">
        <f t="shared" ca="1" si="1"/>
        <v>1+0.0268412652636194i</v>
      </c>
      <c r="E49" t="str">
        <f t="shared" ca="1" si="2"/>
        <v>1+17.3688993261898i</v>
      </c>
      <c r="F49">
        <f t="shared" ca="1" si="3"/>
        <v>69.486139019499433</v>
      </c>
      <c r="G49" t="str">
        <f t="shared" ca="1" si="15"/>
        <v>0.540144177574512-3.96401852487364i</v>
      </c>
      <c r="H49">
        <f t="shared" ca="1" si="16"/>
        <v>12.042610673916009</v>
      </c>
      <c r="I49">
        <f t="shared" ca="1" si="17"/>
        <v>-82.240564065180294</v>
      </c>
      <c r="K49" t="str">
        <f t="shared" ca="1" si="4"/>
        <v>1+0.0511266776022997i</v>
      </c>
      <c r="L49" t="str">
        <f t="shared" ca="1" si="5"/>
        <v>1-0.0140646810952309i</v>
      </c>
      <c r="M49" t="str">
        <f t="shared" ca="1" si="6"/>
        <v>1+16.3605368327359i</v>
      </c>
      <c r="N49" t="str">
        <f t="shared" si="7"/>
        <v>1+0.0411746026830995i</v>
      </c>
      <c r="O49">
        <f t="shared" ca="1" si="8"/>
        <v>30.873410267617786</v>
      </c>
      <c r="P49" t="str">
        <f t="shared" ca="1" si="25"/>
        <v>0.107201934218375-1.88154902498417i</v>
      </c>
      <c r="Q49">
        <f t="shared" ca="1" si="19"/>
        <v>5.5043859710174967</v>
      </c>
      <c r="R49">
        <f t="shared" ca="1" si="26"/>
        <v>-86.739077777316382</v>
      </c>
      <c r="T49" t="str">
        <f t="shared" si="9"/>
        <v>1+0.6536i</v>
      </c>
      <c r="U49" t="str">
        <f t="shared" si="10"/>
        <v>1+0.038i</v>
      </c>
      <c r="V49" t="str">
        <f t="shared" si="11"/>
        <v>-0.114749082007344i</v>
      </c>
      <c r="W49" t="str">
        <f t="shared" si="21"/>
        <v>0.0705376784760016-0.117429513789432i</v>
      </c>
      <c r="X49">
        <f t="shared" si="22"/>
        <v>-17.26645534384075</v>
      </c>
      <c r="Y49">
        <f t="shared" si="23"/>
        <v>-59.007561816170004</v>
      </c>
      <c r="Z49">
        <f t="shared" si="24"/>
        <v>604.78878374920225</v>
      </c>
      <c r="AA49">
        <f t="shared" ca="1" si="12"/>
        <v>-5.2238446699247412</v>
      </c>
      <c r="AB49">
        <f t="shared" ca="1" si="13"/>
        <v>-141.24812588135029</v>
      </c>
    </row>
    <row r="50" spans="1:28" x14ac:dyDescent="0.2">
      <c r="A50">
        <v>3900</v>
      </c>
      <c r="B50" t="str">
        <f t="shared" si="14"/>
        <v>3900i</v>
      </c>
      <c r="C50" t="str">
        <f t="shared" ca="1" si="0"/>
        <v>1+0.0524721164865707i</v>
      </c>
      <c r="D50" t="str">
        <f t="shared" ca="1" si="1"/>
        <v>1+0.0275476143495041i</v>
      </c>
      <c r="E50" t="str">
        <f t="shared" ca="1" si="2"/>
        <v>1+17.8259756242475i</v>
      </c>
      <c r="F50">
        <f t="shared" ca="1" si="3"/>
        <v>69.486139019499433</v>
      </c>
      <c r="G50" t="str">
        <f t="shared" ca="1" si="15"/>
        <v>0.528610670411493-3.86273878429398i</v>
      </c>
      <c r="H50">
        <f t="shared" ca="1" si="16"/>
        <v>11.81848735348523</v>
      </c>
      <c r="I50">
        <f t="shared" ca="1" si="17"/>
        <v>-82.207552628222871</v>
      </c>
      <c r="K50" t="str">
        <f t="shared" ca="1" si="4"/>
        <v>1+0.0524721164865707i</v>
      </c>
      <c r="L50" t="str">
        <f t="shared" ca="1" si="5"/>
        <v>1-0.0144348042819475i</v>
      </c>
      <c r="M50" t="str">
        <f t="shared" ca="1" si="6"/>
        <v>1+16.7910772757026i</v>
      </c>
      <c r="N50" t="str">
        <f t="shared" si="7"/>
        <v>1+0.0422581448589706i</v>
      </c>
      <c r="O50">
        <f t="shared" ca="1" si="8"/>
        <v>30.873410267617786</v>
      </c>
      <c r="P50" t="str">
        <f t="shared" ca="1" si="25"/>
        <v>0.101401339308731-1.83370334833858i</v>
      </c>
      <c r="Q50">
        <f t="shared" ca="1" si="19"/>
        <v>5.2798417688297192</v>
      </c>
      <c r="R50">
        <f t="shared" ca="1" si="26"/>
        <v>-86.834843789631293</v>
      </c>
      <c r="T50" t="str">
        <f t="shared" si="9"/>
        <v>1+0.6708i</v>
      </c>
      <c r="U50" t="str">
        <f t="shared" si="10"/>
        <v>1+0.039i</v>
      </c>
      <c r="V50" t="str">
        <f t="shared" si="11"/>
        <v>-0.111806797853309i</v>
      </c>
      <c r="W50" t="str">
        <f t="shared" si="21"/>
        <v>0.0705322553233738-0.114557555810921i</v>
      </c>
      <c r="X50">
        <f t="shared" si="22"/>
        <v>-17.423638336730939</v>
      </c>
      <c r="Y50">
        <f t="shared" si="23"/>
        <v>-58.379694544937415</v>
      </c>
      <c r="Z50">
        <f t="shared" si="24"/>
        <v>620.70427805839188</v>
      </c>
      <c r="AA50">
        <f t="shared" ca="1" si="12"/>
        <v>-5.6051509832457089</v>
      </c>
      <c r="AB50">
        <f t="shared" ca="1" si="13"/>
        <v>-140.58724717316028</v>
      </c>
    </row>
    <row r="51" spans="1:28" x14ac:dyDescent="0.2">
      <c r="A51">
        <v>4000</v>
      </c>
      <c r="B51" t="str">
        <f t="shared" si="14"/>
        <v>4000i</v>
      </c>
      <c r="C51" t="str">
        <f t="shared" ca="1" si="0"/>
        <v>1+0.0538175553708418i</v>
      </c>
      <c r="D51" t="str">
        <f t="shared" ca="1" si="1"/>
        <v>1+0.0282539634353889i</v>
      </c>
      <c r="E51" t="str">
        <f t="shared" ca="1" si="2"/>
        <v>1+18.2830519223051i</v>
      </c>
      <c r="F51">
        <f t="shared" ca="1" si="3"/>
        <v>69.486139019499433</v>
      </c>
      <c r="G51" t="str">
        <f t="shared" ca="1" si="15"/>
        <v>0.517927875632274-3.76646927688284i</v>
      </c>
      <c r="H51">
        <f t="shared" ca="1" si="16"/>
        <v>11.600042782237301</v>
      </c>
      <c r="I51">
        <f t="shared" ca="1" si="17"/>
        <v>-82.170350932005277</v>
      </c>
      <c r="K51" t="str">
        <f t="shared" ca="1" si="4"/>
        <v>1+0.0538175553708418i</v>
      </c>
      <c r="L51" t="str">
        <f t="shared" ca="1" si="5"/>
        <v>1-0.0148049274686641i</v>
      </c>
      <c r="M51" t="str">
        <f t="shared" ca="1" si="6"/>
        <v>1+17.2216177186694i</v>
      </c>
      <c r="N51" t="str">
        <f t="shared" si="7"/>
        <v>1+0.0433416870348416i</v>
      </c>
      <c r="O51">
        <f t="shared" ca="1" si="8"/>
        <v>30.873410267617786</v>
      </c>
      <c r="P51" t="str">
        <f t="shared" ca="1" si="25"/>
        <v>0.0960281511199546-1.78822648793567i</v>
      </c>
      <c r="Q51">
        <f t="shared" ca="1" si="19"/>
        <v>5.0609562557977377</v>
      </c>
      <c r="R51">
        <f t="shared" ca="1" si="26"/>
        <v>-86.926156611107061</v>
      </c>
      <c r="T51" t="str">
        <f t="shared" si="9"/>
        <v>1+0.688i</v>
      </c>
      <c r="U51" t="str">
        <f t="shared" si="10"/>
        <v>1+0.04i</v>
      </c>
      <c r="V51" t="str">
        <f t="shared" si="11"/>
        <v>-0.109011627906977i</v>
      </c>
      <c r="W51" t="str">
        <f t="shared" si="21"/>
        <v>0.0705266921762391-0.111832695594027i</v>
      </c>
      <c r="X51">
        <f t="shared" si="22"/>
        <v>-17.574445067224811</v>
      </c>
      <c r="Y51">
        <f t="shared" si="23"/>
        <v>-57.762638386500278</v>
      </c>
      <c r="Z51">
        <f t="shared" si="24"/>
        <v>636.61977236758139</v>
      </c>
      <c r="AA51">
        <f t="shared" ca="1" si="12"/>
        <v>-5.9744022849875105</v>
      </c>
      <c r="AB51">
        <f t="shared" ca="1" si="13"/>
        <v>-139.93298931850555</v>
      </c>
    </row>
    <row r="52" spans="1:28" x14ac:dyDescent="0.2">
      <c r="A52">
        <v>4100</v>
      </c>
      <c r="B52" t="str">
        <f t="shared" si="14"/>
        <v>4100i</v>
      </c>
      <c r="C52" t="str">
        <f t="shared" ca="1" si="0"/>
        <v>1+0.0551629942551128i</v>
      </c>
      <c r="D52" t="str">
        <f t="shared" ca="1" si="1"/>
        <v>1+0.0289603125212736i</v>
      </c>
      <c r="E52" t="str">
        <f t="shared" ca="1" si="2"/>
        <v>1+18.7401282203627i</v>
      </c>
      <c r="F52">
        <f t="shared" ca="1" si="3"/>
        <v>69.486139019499433</v>
      </c>
      <c r="G52" t="str">
        <f t="shared" ca="1" si="15"/>
        <v>0.508014215847182-3.67484775329922i</v>
      </c>
      <c r="H52">
        <f t="shared" ca="1" si="16"/>
        <v>11.386999970149827</v>
      </c>
      <c r="I52">
        <f t="shared" ca="1" si="17"/>
        <v>-82.129265593311402</v>
      </c>
      <c r="K52" t="str">
        <f t="shared" ca="1" si="4"/>
        <v>1+0.0551629942551128i</v>
      </c>
      <c r="L52" t="str">
        <f t="shared" ca="1" si="5"/>
        <v>1-0.0151750506553807i</v>
      </c>
      <c r="M52" t="str">
        <f t="shared" ca="1" si="6"/>
        <v>1+17.6521581616361i</v>
      </c>
      <c r="N52" t="str">
        <f t="shared" si="7"/>
        <v>1+0.0444252292107126i</v>
      </c>
      <c r="O52">
        <f t="shared" ca="1" si="8"/>
        <v>30.873410267617786</v>
      </c>
      <c r="P52" t="str">
        <f t="shared" ca="1" si="25"/>
        <v>0.0910414040831831-1.74494743573496i</v>
      </c>
      <c r="Q52">
        <f t="shared" ca="1" si="19"/>
        <v>4.8474530953445649</v>
      </c>
      <c r="R52">
        <f t="shared" ca="1" si="26"/>
        <v>-87.013341125114437</v>
      </c>
      <c r="T52" t="str">
        <f t="shared" si="9"/>
        <v>1+0.7052i</v>
      </c>
      <c r="U52" t="str">
        <f t="shared" si="10"/>
        <v>1+0.041i</v>
      </c>
      <c r="V52" t="str">
        <f t="shared" si="11"/>
        <v>-0.106352807714124i</v>
      </c>
      <c r="W52" t="str">
        <f t="shared" si="21"/>
        <v>0.0705209891010423-0.109244168267267i</v>
      </c>
      <c r="X52">
        <f t="shared" si="22"/>
        <v>-17.719206500305326</v>
      </c>
      <c r="Y52">
        <f t="shared" si="23"/>
        <v>-57.156321472684951</v>
      </c>
      <c r="Z52">
        <f t="shared" si="24"/>
        <v>652.5352666767709</v>
      </c>
      <c r="AA52">
        <f t="shared" ca="1" si="12"/>
        <v>-6.3322065301554993</v>
      </c>
      <c r="AB52">
        <f t="shared" ca="1" si="13"/>
        <v>-139.28558706599637</v>
      </c>
    </row>
    <row r="53" spans="1:28" x14ac:dyDescent="0.2">
      <c r="A53">
        <v>4200</v>
      </c>
      <c r="B53" t="str">
        <f t="shared" si="14"/>
        <v>4200i</v>
      </c>
      <c r="C53" t="str">
        <f t="shared" ca="1" si="0"/>
        <v>1+0.0565084331393839i</v>
      </c>
      <c r="D53" t="str">
        <f t="shared" ca="1" si="1"/>
        <v>1+0.0296666616071583i</v>
      </c>
      <c r="E53" t="str">
        <f t="shared" ca="1" si="2"/>
        <v>1+19.1972045184203i</v>
      </c>
      <c r="F53">
        <f t="shared" ca="1" si="3"/>
        <v>69.486139019499433</v>
      </c>
      <c r="G53" t="str">
        <f t="shared" ca="1" si="15"/>
        <v>0.498797654187289-3.5875459671649i</v>
      </c>
      <c r="H53">
        <f t="shared" ca="1" si="16"/>
        <v>11.179101721760809</v>
      </c>
      <c r="I53">
        <f t="shared" ca="1" si="17"/>
        <v>-82.08457419540926</v>
      </c>
      <c r="K53" t="str">
        <f t="shared" ca="1" si="4"/>
        <v>1+0.0565084331393839i</v>
      </c>
      <c r="L53" t="str">
        <f t="shared" ca="1" si="5"/>
        <v>1-0.0155451738420973i</v>
      </c>
      <c r="M53" t="str">
        <f t="shared" ca="1" si="6"/>
        <v>1+18.0826986046028i</v>
      </c>
      <c r="N53" t="str">
        <f t="shared" si="7"/>
        <v>1+0.0455087713865837i</v>
      </c>
      <c r="O53">
        <f t="shared" ca="1" si="8"/>
        <v>30.873410267617786</v>
      </c>
      <c r="P53" t="str">
        <f t="shared" ca="1" si="25"/>
        <v>0.0864049201402675-1.70371120540178i</v>
      </c>
      <c r="Q53">
        <f t="shared" ca="1" si="19"/>
        <v>4.6390756695275117</v>
      </c>
      <c r="R53">
        <f t="shared" ca="1" si="26"/>
        <v>-87.096691450742497</v>
      </c>
      <c r="T53" t="str">
        <f t="shared" si="9"/>
        <v>1+0.7224i</v>
      </c>
      <c r="U53" t="str">
        <f t="shared" si="10"/>
        <v>1+0.042i</v>
      </c>
      <c r="V53" t="str">
        <f t="shared" si="11"/>
        <v>-0.103820598006645i</v>
      </c>
      <c r="W53" t="str">
        <f t="shared" si="21"/>
        <v>0.0705151461658847-0.106782234145612i</v>
      </c>
      <c r="X53">
        <f t="shared" si="22"/>
        <v>-17.858231637854622</v>
      </c>
      <c r="Y53">
        <f t="shared" si="23"/>
        <v>-56.560662676779927</v>
      </c>
      <c r="Z53">
        <f t="shared" si="24"/>
        <v>668.45076098596041</v>
      </c>
      <c r="AA53">
        <f t="shared" ca="1" si="12"/>
        <v>-6.6791299160938138</v>
      </c>
      <c r="AB53">
        <f t="shared" ca="1" si="13"/>
        <v>-138.64523687218917</v>
      </c>
    </row>
    <row r="54" spans="1:28" x14ac:dyDescent="0.2">
      <c r="A54">
        <v>4300</v>
      </c>
      <c r="B54" t="str">
        <f t="shared" si="14"/>
        <v>4300i</v>
      </c>
      <c r="C54" t="str">
        <f t="shared" ca="1" si="0"/>
        <v>1+0.0578538720236549i</v>
      </c>
      <c r="D54" t="str">
        <f t="shared" ca="1" si="1"/>
        <v>1+0.030373010693043i</v>
      </c>
      <c r="E54" t="str">
        <f t="shared" ca="1" si="2"/>
        <v>1+19.654280816478i</v>
      </c>
      <c r="F54">
        <f t="shared" ca="1" si="3"/>
        <v>69.486139019499433</v>
      </c>
      <c r="G54" t="str">
        <f t="shared" ca="1" si="15"/>
        <v>0.490214387156327-3.50426578773858i</v>
      </c>
      <c r="H54">
        <f t="shared" ca="1" si="16"/>
        <v>10.976108798898212</v>
      </c>
      <c r="I54">
        <f t="shared" ca="1" si="17"/>
        <v>-82.036528645441706</v>
      </c>
      <c r="K54" t="str">
        <f t="shared" ca="1" si="4"/>
        <v>1+0.0578538720236549i</v>
      </c>
      <c r="L54" t="str">
        <f t="shared" ca="1" si="5"/>
        <v>1-0.0159152970288139i</v>
      </c>
      <c r="M54" t="str">
        <f t="shared" ca="1" si="6"/>
        <v>1+18.5132390475696i</v>
      </c>
      <c r="N54" t="str">
        <f t="shared" si="7"/>
        <v>1+0.0465923135624547i</v>
      </c>
      <c r="O54">
        <f t="shared" ca="1" si="8"/>
        <v>30.873410267617786</v>
      </c>
      <c r="P54" t="str">
        <f t="shared" ca="1" si="25"/>
        <v>0.0820866533387264-1.66437700472025i</v>
      </c>
      <c r="Q54">
        <f t="shared" ca="1" si="19"/>
        <v>4.4355852521776491</v>
      </c>
      <c r="R54">
        <f t="shared" ca="1" si="26"/>
        <v>-87.176474497851459</v>
      </c>
      <c r="T54" t="str">
        <f t="shared" si="9"/>
        <v>1+0.7396i</v>
      </c>
      <c r="U54" t="str">
        <f t="shared" si="10"/>
        <v>1+0.043i</v>
      </c>
      <c r="V54" t="str">
        <f t="shared" si="11"/>
        <v>-0.101406165494862i</v>
      </c>
      <c r="W54" t="str">
        <f t="shared" si="21"/>
        <v>0.0705091634405193-0.104438059522804i</v>
      </c>
      <c r="X54">
        <f t="shared" si="22"/>
        <v>-17.991809427411457</v>
      </c>
      <c r="Y54">
        <f t="shared" si="23"/>
        <v>-55.975572379290988</v>
      </c>
      <c r="Z54">
        <f t="shared" si="24"/>
        <v>684.36625529514993</v>
      </c>
      <c r="AA54">
        <f t="shared" ca="1" si="12"/>
        <v>-7.0157006285132457</v>
      </c>
      <c r="AB54">
        <f t="shared" ca="1" si="13"/>
        <v>-138.01210102473269</v>
      </c>
    </row>
    <row r="55" spans="1:28" x14ac:dyDescent="0.2">
      <c r="A55">
        <v>4400</v>
      </c>
      <c r="B55" t="str">
        <f t="shared" si="14"/>
        <v>4400i</v>
      </c>
      <c r="C55" t="str">
        <f t="shared" ca="1" si="0"/>
        <v>1+0.059199310907926i</v>
      </c>
      <c r="D55" t="str">
        <f t="shared" ca="1" si="1"/>
        <v>1+0.0310793597789277i</v>
      </c>
      <c r="E55" t="str">
        <f t="shared" ca="1" si="2"/>
        <v>1+20.1113571145356i</v>
      </c>
      <c r="F55">
        <f t="shared" ca="1" si="3"/>
        <v>69.486139019499433</v>
      </c>
      <c r="G55" t="str">
        <f t="shared" ca="1" si="15"/>
        <v>0.482207741583217-3.42473583253144i</v>
      </c>
      <c r="H55">
        <f t="shared" ca="1" si="16"/>
        <v>10.777798291178325</v>
      </c>
      <c r="I55">
        <f t="shared" ca="1" si="17"/>
        <v>-81.985358076830892</v>
      </c>
      <c r="K55" t="str">
        <f t="shared" ca="1" si="4"/>
        <v>1+0.059199310907926i</v>
      </c>
      <c r="L55" t="str">
        <f t="shared" ca="1" si="5"/>
        <v>1-0.0162854202155305i</v>
      </c>
      <c r="M55" t="str">
        <f t="shared" ca="1" si="6"/>
        <v>1+18.9437794905363i</v>
      </c>
      <c r="N55" t="str">
        <f t="shared" si="7"/>
        <v>1+0.0476758557383258i</v>
      </c>
      <c r="O55">
        <f t="shared" ca="1" si="8"/>
        <v>30.873410267617786</v>
      </c>
      <c r="P55" t="str">
        <f t="shared" ca="1" si="25"/>
        <v>0.0780581366707963-1.62681665182533i</v>
      </c>
      <c r="Q55">
        <f t="shared" ca="1" si="19"/>
        <v>4.2367593881826444</v>
      </c>
      <c r="R55">
        <f t="shared" ca="1" si="26"/>
        <v>-87.252933040735272</v>
      </c>
      <c r="T55" t="str">
        <f t="shared" si="9"/>
        <v>1+0.7568i</v>
      </c>
      <c r="U55" t="str">
        <f t="shared" si="10"/>
        <v>1+0.044i</v>
      </c>
      <c r="V55" t="str">
        <f t="shared" si="11"/>
        <v>-0.0991014799154334i</v>
      </c>
      <c r="W55" t="str">
        <f t="shared" si="21"/>
        <v>0.070503040996352-0.102203613719273i</v>
      </c>
      <c r="X55">
        <f t="shared" si="22"/>
        <v>-18.120210457006209</v>
      </c>
      <c r="Y55">
        <f t="shared" si="23"/>
        <v>-55.400953206371547</v>
      </c>
      <c r="Z55">
        <f t="shared" si="24"/>
        <v>700.28174960433955</v>
      </c>
      <c r="AA55">
        <f t="shared" ca="1" si="12"/>
        <v>-7.3424121658278843</v>
      </c>
      <c r="AB55">
        <f t="shared" ca="1" si="13"/>
        <v>-137.38631128320245</v>
      </c>
    </row>
    <row r="56" spans="1:28" x14ac:dyDescent="0.2">
      <c r="A56">
        <v>4500</v>
      </c>
      <c r="B56" t="str">
        <f t="shared" si="14"/>
        <v>4500i</v>
      </c>
      <c r="C56" t="str">
        <f t="shared" ca="1" si="0"/>
        <v>1+0.060544749792197i</v>
      </c>
      <c r="D56" t="str">
        <f t="shared" ca="1" si="1"/>
        <v>1+0.0317857088648125i</v>
      </c>
      <c r="E56" t="str">
        <f t="shared" ca="1" si="2"/>
        <v>1+20.5684334125932i</v>
      </c>
      <c r="F56">
        <f t="shared" ca="1" si="3"/>
        <v>69.486139019499433</v>
      </c>
      <c r="G56" t="str">
        <f t="shared" ca="1" si="15"/>
        <v>0.474727240078071-3.34870854071484i</v>
      </c>
      <c r="H56">
        <f t="shared" ca="1" si="16"/>
        <v>10.583962166774004</v>
      </c>
      <c r="I56">
        <f t="shared" ca="1" si="17"/>
        <v>-81.931271366986721</v>
      </c>
      <c r="K56" t="str">
        <f t="shared" ca="1" si="4"/>
        <v>1+0.060544749792197i</v>
      </c>
      <c r="L56" t="str">
        <f t="shared" ca="1" si="5"/>
        <v>1-0.0166555434022471i</v>
      </c>
      <c r="M56" t="str">
        <f t="shared" ca="1" si="6"/>
        <v>1+19.374319933503i</v>
      </c>
      <c r="N56" t="str">
        <f t="shared" si="7"/>
        <v>1+0.0487593979141968i</v>
      </c>
      <c r="O56">
        <f t="shared" ca="1" si="8"/>
        <v>30.873410267617786</v>
      </c>
      <c r="P56" t="str">
        <f t="shared" ca="1" si="25"/>
        <v>0.0742940133417633-1.59091319824624i</v>
      </c>
      <c r="Q56">
        <f t="shared" ca="1" si="19"/>
        <v>4.0423904516989975</v>
      </c>
      <c r="R56">
        <f t="shared" ca="1" si="26"/>
        <v>-87.32628838469779</v>
      </c>
      <c r="T56" t="str">
        <f t="shared" si="9"/>
        <v>1+0.774i</v>
      </c>
      <c r="U56" t="str">
        <f t="shared" si="10"/>
        <v>1+0.045i</v>
      </c>
      <c r="V56" t="str">
        <f t="shared" si="11"/>
        <v>-0.0968992248062016i</v>
      </c>
      <c r="W56" t="str">
        <f t="shared" si="21"/>
        <v>0.0704967789064354-0.100071579856991i</v>
      </c>
      <c r="X56">
        <f t="shared" si="22"/>
        <v>-18.243688465243356</v>
      </c>
      <c r="Y56">
        <f t="shared" si="23"/>
        <v>-54.8367007393351</v>
      </c>
      <c r="Z56">
        <f t="shared" si="24"/>
        <v>716.19724391352906</v>
      </c>
      <c r="AA56">
        <f t="shared" ca="1" si="12"/>
        <v>-7.6597262984693515</v>
      </c>
      <c r="AB56">
        <f t="shared" ca="1" si="13"/>
        <v>-136.76797210632182</v>
      </c>
    </row>
    <row r="57" spans="1:28" x14ac:dyDescent="0.2">
      <c r="A57">
        <v>4600</v>
      </c>
      <c r="B57" t="str">
        <f t="shared" si="14"/>
        <v>4600i</v>
      </c>
      <c r="C57" t="str">
        <f t="shared" ca="1" si="0"/>
        <v>1+0.0618901886764681i</v>
      </c>
      <c r="D57" t="str">
        <f t="shared" ca="1" si="1"/>
        <v>1+0.0324920579506972i</v>
      </c>
      <c r="E57" t="str">
        <f t="shared" ca="1" si="2"/>
        <v>1+21.0255097106508i</v>
      </c>
      <c r="F57">
        <f t="shared" ca="1" si="3"/>
        <v>69.486139019499433</v>
      </c>
      <c r="G57" t="str">
        <f t="shared" ca="1" si="15"/>
        <v>0.467727806224728-3.27595762161154i</v>
      </c>
      <c r="H57">
        <f t="shared" ca="1" si="16"/>
        <v>10.394405980098721</v>
      </c>
      <c r="I57">
        <f t="shared" ca="1" si="17"/>
        <v>-81.874459328475737</v>
      </c>
      <c r="K57" t="str">
        <f t="shared" ca="1" si="4"/>
        <v>1+0.0618901886764681i</v>
      </c>
      <c r="L57" t="str">
        <f t="shared" ca="1" si="5"/>
        <v>1-0.0170256665889637i</v>
      </c>
      <c r="M57" t="str">
        <f t="shared" ca="1" si="6"/>
        <v>1+19.8048603764698i</v>
      </c>
      <c r="N57" t="str">
        <f t="shared" si="7"/>
        <v>1+0.0498429400900678i</v>
      </c>
      <c r="O57">
        <f t="shared" ca="1" si="8"/>
        <v>30.873410267617786</v>
      </c>
      <c r="P57" t="str">
        <f t="shared" ca="1" si="25"/>
        <v>0.0707716380673171-1.55655972801692i</v>
      </c>
      <c r="Q57">
        <f t="shared" ca="1" si="19"/>
        <v>3.8522843601668617</v>
      </c>
      <c r="R57">
        <f t="shared" ca="1" si="26"/>
        <v>-87.39674268703186</v>
      </c>
      <c r="T57" t="str">
        <f t="shared" si="9"/>
        <v>1+0.7912i</v>
      </c>
      <c r="U57" t="str">
        <f t="shared" si="10"/>
        <v>1+0.046i</v>
      </c>
      <c r="V57" t="str">
        <f t="shared" si="11"/>
        <v>-0.0947927199191102i</v>
      </c>
      <c r="W57" t="str">
        <f t="shared" si="21"/>
        <v>0.0704903772454695-0.0980352772724018i</v>
      </c>
      <c r="X57">
        <f t="shared" si="22"/>
        <v>-18.36248169123267</v>
      </c>
      <c r="Y57">
        <f t="shared" si="23"/>
        <v>-54.282704194050389</v>
      </c>
      <c r="Z57">
        <f t="shared" si="24"/>
        <v>732.11273822271858</v>
      </c>
      <c r="AA57">
        <f t="shared" ca="1" si="12"/>
        <v>-7.9680757111339489</v>
      </c>
      <c r="AB57">
        <f t="shared" ca="1" si="13"/>
        <v>-136.15716352252613</v>
      </c>
    </row>
    <row r="58" spans="1:28" x14ac:dyDescent="0.2">
      <c r="A58">
        <v>4700</v>
      </c>
      <c r="B58" t="str">
        <f t="shared" si="14"/>
        <v>4700i</v>
      </c>
      <c r="C58" t="str">
        <f t="shared" ca="1" si="0"/>
        <v>1+0.0632356275607391i</v>
      </c>
      <c r="D58" t="str">
        <f t="shared" ca="1" si="1"/>
        <v>1+0.0331984070365819i</v>
      </c>
      <c r="E58" t="str">
        <f t="shared" ca="1" si="2"/>
        <v>1+21.4825860087085i</v>
      </c>
      <c r="F58">
        <f t="shared" ca="1" si="3"/>
        <v>69.486139019499433</v>
      </c>
      <c r="G58" t="str">
        <f t="shared" ca="1" si="15"/>
        <v>0.461169086148139-3.20627582349422i</v>
      </c>
      <c r="H58">
        <f t="shared" ca="1" si="16"/>
        <v>10.208947716497738</v>
      </c>
      <c r="I58">
        <f t="shared" ca="1" si="17"/>
        <v>-81.815096621979265</v>
      </c>
      <c r="K58" t="str">
        <f t="shared" ca="1" si="4"/>
        <v>1+0.0632356275607391i</v>
      </c>
      <c r="L58" t="str">
        <f t="shared" ca="1" si="5"/>
        <v>1-0.0173957897756803i</v>
      </c>
      <c r="M58" t="str">
        <f t="shared" ca="1" si="6"/>
        <v>1+20.2354008194365i</v>
      </c>
      <c r="N58" t="str">
        <f t="shared" si="7"/>
        <v>1+0.0509264822659389i</v>
      </c>
      <c r="O58">
        <f t="shared" ca="1" si="8"/>
        <v>30.873410267617786</v>
      </c>
      <c r="P58" t="str">
        <f t="shared" ca="1" si="25"/>
        <v>0.0674707367027379-1.52365830720892i</v>
      </c>
      <c r="Q58">
        <f t="shared" ca="1" si="19"/>
        <v>3.6662594244057907</v>
      </c>
      <c r="R58">
        <f t="shared" ca="1" si="26"/>
        <v>-87.464480983509802</v>
      </c>
      <c r="T58" t="str">
        <f t="shared" si="9"/>
        <v>1+0.8084i</v>
      </c>
      <c r="U58" t="str">
        <f t="shared" si="10"/>
        <v>1+0.047i</v>
      </c>
      <c r="V58" t="str">
        <f t="shared" si="11"/>
        <v>-0.0927758535378526i</v>
      </c>
      <c r="W58" t="str">
        <f t="shared" si="21"/>
        <v>0.0704838360897986-0.0960885938340731i</v>
      </c>
      <c r="X58">
        <f t="shared" si="22"/>
        <v>-18.476814085201088</v>
      </c>
      <c r="Y58">
        <f t="shared" si="23"/>
        <v>-53.738847069375694</v>
      </c>
      <c r="Z58">
        <f t="shared" si="24"/>
        <v>748.02823253190809</v>
      </c>
      <c r="AA58">
        <f t="shared" ca="1" si="12"/>
        <v>-8.2678663687033502</v>
      </c>
      <c r="AB58">
        <f t="shared" ca="1" si="13"/>
        <v>-135.55394369135496</v>
      </c>
    </row>
    <row r="59" spans="1:28" x14ac:dyDescent="0.2">
      <c r="A59">
        <v>4800</v>
      </c>
      <c r="B59" t="str">
        <f t="shared" si="14"/>
        <v>4800i</v>
      </c>
      <c r="C59" t="str">
        <f t="shared" ca="1" si="0"/>
        <v>1+0.0645810664450101i</v>
      </c>
      <c r="D59" t="str">
        <f t="shared" ca="1" si="1"/>
        <v>1+0.0339047561224666i</v>
      </c>
      <c r="E59" t="str">
        <f t="shared" ca="1" si="2"/>
        <v>1+21.9396623067661i</v>
      </c>
      <c r="F59">
        <f t="shared" ca="1" si="3"/>
        <v>69.486139019499433</v>
      </c>
      <c r="G59" t="str">
        <f t="shared" ca="1" si="15"/>
        <v>0.455014867395814-3.13947297684868i</v>
      </c>
      <c r="H59">
        <f t="shared" ca="1" si="16"/>
        <v>10.027416756917454</v>
      </c>
      <c r="I59">
        <f t="shared" ca="1" si="17"/>
        <v>-81.753343431369885</v>
      </c>
      <c r="K59" t="str">
        <f t="shared" ca="1" si="4"/>
        <v>1+0.0645810664450101i</v>
      </c>
      <c r="L59" t="str">
        <f t="shared" ca="1" si="5"/>
        <v>1-0.0177659129623969i</v>
      </c>
      <c r="M59" t="str">
        <f t="shared" ca="1" si="6"/>
        <v>1+20.6659412624032i</v>
      </c>
      <c r="N59" t="str">
        <f t="shared" si="7"/>
        <v>1+0.0520100244418099i</v>
      </c>
      <c r="O59">
        <f t="shared" ca="1" si="8"/>
        <v>30.873410267617786</v>
      </c>
      <c r="P59" t="str">
        <f t="shared" ca="1" si="25"/>
        <v>0.0643731146580471-1.49211906241185i</v>
      </c>
      <c r="Q59">
        <f t="shared" ca="1" si="19"/>
        <v>3.4841453179129318</v>
      </c>
      <c r="R59">
        <f t="shared" ca="1" si="26"/>
        <v>-87.529672963041307</v>
      </c>
      <c r="T59" t="str">
        <f t="shared" si="9"/>
        <v>1+0.8256i</v>
      </c>
      <c r="U59" t="str">
        <f t="shared" si="10"/>
        <v>1+0.048i</v>
      </c>
      <c r="V59" t="str">
        <f t="shared" si="11"/>
        <v>-0.090843023255814i</v>
      </c>
      <c r="W59" t="str">
        <f t="shared" si="21"/>
        <v>0.0704771555174088-0.0942259267206496i</v>
      </c>
      <c r="X59">
        <f t="shared" si="22"/>
        <v>-18.586896397483521</v>
      </c>
      <c r="Y59">
        <f t="shared" si="23"/>
        <v>-53.205007764117148</v>
      </c>
      <c r="Z59">
        <f t="shared" si="24"/>
        <v>763.9437268410976</v>
      </c>
      <c r="AA59">
        <f t="shared" ca="1" si="12"/>
        <v>-8.5594796405660674</v>
      </c>
      <c r="AB59">
        <f t="shared" ca="1" si="13"/>
        <v>-134.95835119548704</v>
      </c>
    </row>
    <row r="60" spans="1:28" x14ac:dyDescent="0.2">
      <c r="A60">
        <v>4900</v>
      </c>
      <c r="B60" t="str">
        <f t="shared" si="14"/>
        <v>4900i</v>
      </c>
      <c r="C60" t="str">
        <f t="shared" ca="1" si="0"/>
        <v>1+0.0659265053292812i</v>
      </c>
      <c r="D60" t="str">
        <f t="shared" ca="1" si="1"/>
        <v>1+0.0346111052083513i</v>
      </c>
      <c r="E60" t="str">
        <f t="shared" ca="1" si="2"/>
        <v>1+22.3967386048237i</v>
      </c>
      <c r="F60">
        <f t="shared" ca="1" si="3"/>
        <v>69.486139019499433</v>
      </c>
      <c r="G60" t="str">
        <f t="shared" ca="1" si="15"/>
        <v>0.449232579511782-3.07537427358985i</v>
      </c>
      <c r="H60">
        <f t="shared" ca="1" si="16"/>
        <v>9.8496529479372548</v>
      </c>
      <c r="I60">
        <f t="shared" ca="1" si="17"/>
        <v>-81.689346934693702</v>
      </c>
      <c r="K60" t="str">
        <f t="shared" ca="1" si="4"/>
        <v>1+0.0659265053292812i</v>
      </c>
      <c r="L60" t="str">
        <f t="shared" ca="1" si="5"/>
        <v>1-0.0181360361491135i</v>
      </c>
      <c r="M60" t="str">
        <f t="shared" ca="1" si="6"/>
        <v>1+21.09648170537i</v>
      </c>
      <c r="N60" t="str">
        <f t="shared" si="7"/>
        <v>1+0.053093566617681i</v>
      </c>
      <c r="O60">
        <f t="shared" ca="1" si="8"/>
        <v>30.873410267617786</v>
      </c>
      <c r="P60" t="str">
        <f t="shared" ca="1" si="25"/>
        <v>0.0614624062741231-1.46185937011154i</v>
      </c>
      <c r="Q60">
        <f t="shared" ca="1" si="19"/>
        <v>3.3057821508743936</v>
      </c>
      <c r="R60">
        <f t="shared" ca="1" si="26"/>
        <v>-87.592474526241304</v>
      </c>
      <c r="T60" t="str">
        <f t="shared" si="9"/>
        <v>1+0.8428i</v>
      </c>
      <c r="U60" t="str">
        <f t="shared" si="10"/>
        <v>1+0.049i</v>
      </c>
      <c r="V60" t="str">
        <f t="shared" si="11"/>
        <v>-0.0889890840056953i</v>
      </c>
      <c r="W60" t="str">
        <f t="shared" si="21"/>
        <v>0.0704703356079263-0.0924421304504837i</v>
      </c>
      <c r="X60">
        <f t="shared" si="22"/>
        <v>-18.692927160985107</v>
      </c>
      <c r="Y60">
        <f t="shared" si="23"/>
        <v>-52.681060162277468</v>
      </c>
      <c r="Z60">
        <f t="shared" si="24"/>
        <v>779.85922115028723</v>
      </c>
      <c r="AA60">
        <f t="shared" ca="1" si="12"/>
        <v>-8.8432742130478523</v>
      </c>
      <c r="AB60">
        <f t="shared" ca="1" si="13"/>
        <v>-134.37040709697118</v>
      </c>
    </row>
    <row r="61" spans="1:28" x14ac:dyDescent="0.2">
      <c r="A61">
        <v>5000</v>
      </c>
      <c r="B61" t="str">
        <f t="shared" si="14"/>
        <v>5000i</v>
      </c>
      <c r="C61" t="str">
        <f t="shared" ca="1" si="0"/>
        <v>1+0.0672719442135522i</v>
      </c>
      <c r="D61" t="str">
        <f t="shared" ca="1" si="1"/>
        <v>1+0.0353174542942361i</v>
      </c>
      <c r="E61" t="str">
        <f t="shared" ca="1" si="2"/>
        <v>1+22.8538149028814i</v>
      </c>
      <c r="F61">
        <f t="shared" ca="1" si="3"/>
        <v>69.486139019499433</v>
      </c>
      <c r="G61" t="str">
        <f t="shared" ca="1" si="15"/>
        <v>0.443792863445319-3.01381874976002i</v>
      </c>
      <c r="H61">
        <f t="shared" ca="1" si="16"/>
        <v>9.6755057645803237</v>
      </c>
      <c r="I61">
        <f t="shared" ca="1" si="17"/>
        <v>-81.623242599474594</v>
      </c>
      <c r="K61" t="str">
        <f t="shared" ca="1" si="4"/>
        <v>1+0.0672719442135522i</v>
      </c>
      <c r="L61" t="str">
        <f t="shared" ca="1" si="5"/>
        <v>1-0.0185061593358301i</v>
      </c>
      <c r="M61" t="str">
        <f t="shared" ca="1" si="6"/>
        <v>1+21.5270221483367i</v>
      </c>
      <c r="N61" t="str">
        <f t="shared" si="7"/>
        <v>1+0.054177108793552i</v>
      </c>
      <c r="O61">
        <f t="shared" ca="1" si="8"/>
        <v>30.873410267617786</v>
      </c>
      <c r="P61" t="str">
        <f t="shared" ca="1" si="25"/>
        <v>0.0587238587179087-1.43280314173921i</v>
      </c>
      <c r="Q61">
        <f t="shared" ca="1" si="19"/>
        <v>3.13101963640664</v>
      </c>
      <c r="R61">
        <f t="shared" ca="1" si="26"/>
        <v>-87.653029157972895</v>
      </c>
      <c r="T61" t="str">
        <f t="shared" si="9"/>
        <v>1+0.86i</v>
      </c>
      <c r="U61" t="str">
        <f t="shared" si="10"/>
        <v>1+0.05i</v>
      </c>
      <c r="V61" t="str">
        <f t="shared" si="11"/>
        <v>-0.0872093023255814i</v>
      </c>
      <c r="W61" t="str">
        <f t="shared" si="21"/>
        <v>0.0704633764426144-0.0907324711477121i</v>
      </c>
      <c r="X61">
        <f t="shared" si="22"/>
        <v>-18.795093580026567</v>
      </c>
      <c r="Y61">
        <f t="shared" si="23"/>
        <v>-52.166874186619722</v>
      </c>
      <c r="Z61">
        <f t="shared" si="24"/>
        <v>795.77471545947674</v>
      </c>
      <c r="AA61">
        <f t="shared" ca="1" si="12"/>
        <v>-9.1195878154462431</v>
      </c>
      <c r="AB61">
        <f t="shared" ca="1" si="13"/>
        <v>-133.7901167860943</v>
      </c>
    </row>
    <row r="62" spans="1:28" x14ac:dyDescent="0.2">
      <c r="A62">
        <v>5100</v>
      </c>
      <c r="B62" t="str">
        <f t="shared" si="14"/>
        <v>5100i</v>
      </c>
      <c r="C62" t="str">
        <f t="shared" ca="1" si="0"/>
        <v>1+0.0686173830978233i</v>
      </c>
      <c r="D62" t="str">
        <f t="shared" ca="1" si="1"/>
        <v>1+0.0360238033801208i</v>
      </c>
      <c r="E62" t="str">
        <f t="shared" ca="1" si="2"/>
        <v>1+23.310891200939i</v>
      </c>
      <c r="F62">
        <f t="shared" ca="1" si="3"/>
        <v>69.486139019499433</v>
      </c>
      <c r="G62" t="str">
        <f t="shared" ca="1" si="15"/>
        <v>0.438669199167985-2.95465794423614i</v>
      </c>
      <c r="H62">
        <f t="shared" ca="1" si="16"/>
        <v>9.5048335550350256</v>
      </c>
      <c r="I62">
        <f t="shared" ca="1" si="17"/>
        <v>-81.555155326325362</v>
      </c>
      <c r="K62" t="str">
        <f t="shared" ca="1" si="4"/>
        <v>1+0.0686173830978233i</v>
      </c>
      <c r="L62" t="str">
        <f t="shared" ca="1" si="5"/>
        <v>1-0.0188762825225467i</v>
      </c>
      <c r="M62" t="str">
        <f t="shared" ca="1" si="6"/>
        <v>1+21.9575625913035i</v>
      </c>
      <c r="N62" t="str">
        <f t="shared" si="7"/>
        <v>1+0.055260650969423i</v>
      </c>
      <c r="O62">
        <f t="shared" ca="1" si="8"/>
        <v>30.873410267617786</v>
      </c>
      <c r="P62" t="str">
        <f t="shared" ca="1" si="25"/>
        <v>0.0561441450718121-1.40488019150286i</v>
      </c>
      <c r="Q62">
        <f t="shared" ca="1" si="19"/>
        <v>2.9597163382442728</v>
      </c>
      <c r="R62">
        <f t="shared" ca="1" si="26"/>
        <v>-87.711469139245835</v>
      </c>
      <c r="T62" t="str">
        <f t="shared" si="9"/>
        <v>1+0.8772i</v>
      </c>
      <c r="U62" t="str">
        <f t="shared" si="10"/>
        <v>1+0.051i</v>
      </c>
      <c r="V62" t="str">
        <f t="shared" si="11"/>
        <v>-0.085499316005472i</v>
      </c>
      <c r="W62" t="str">
        <f t="shared" si="21"/>
        <v>0.0704562781043714-0.0890925861887949i</v>
      </c>
      <c r="X62">
        <f t="shared" si="22"/>
        <v>-18.893572336655488</v>
      </c>
      <c r="Y62">
        <f t="shared" si="23"/>
        <v>-51.662316320790097</v>
      </c>
      <c r="Z62">
        <f t="shared" si="24"/>
        <v>811.69020976866625</v>
      </c>
      <c r="AA62">
        <f t="shared" ca="1" si="12"/>
        <v>-9.3887387816204626</v>
      </c>
      <c r="AB62">
        <f t="shared" ca="1" si="13"/>
        <v>-133.21747164711547</v>
      </c>
    </row>
    <row r="63" spans="1:28" x14ac:dyDescent="0.2">
      <c r="A63">
        <v>5200</v>
      </c>
      <c r="B63" t="str">
        <f t="shared" si="14"/>
        <v>5200i</v>
      </c>
      <c r="C63" t="str">
        <f t="shared" ca="1" si="0"/>
        <v>1+0.0699628219820943i</v>
      </c>
      <c r="D63" t="str">
        <f t="shared" ca="1" si="1"/>
        <v>1+0.0367301524660055i</v>
      </c>
      <c r="E63" t="str">
        <f t="shared" ca="1" si="2"/>
        <v>1+23.7679674989966i</v>
      </c>
      <c r="F63">
        <f t="shared" ca="1" si="3"/>
        <v>69.486139019499433</v>
      </c>
      <c r="G63" t="str">
        <f t="shared" ca="1" si="15"/>
        <v>0.433837582681958-2.89775471012347i</v>
      </c>
      <c r="H63">
        <f t="shared" ca="1" si="16"/>
        <v>9.3375028578720318</v>
      </c>
      <c r="I63">
        <f t="shared" ca="1" si="17"/>
        <v>-81.485200461182302</v>
      </c>
      <c r="K63" t="str">
        <f t="shared" ca="1" si="4"/>
        <v>1+0.0699628219820943i</v>
      </c>
      <c r="L63" t="str">
        <f t="shared" ca="1" si="5"/>
        <v>1-0.0192464057092633i</v>
      </c>
      <c r="M63" t="str">
        <f t="shared" ca="1" si="6"/>
        <v>1+22.3881030342702i</v>
      </c>
      <c r="N63" t="str">
        <f t="shared" si="7"/>
        <v>1+0.0563441931452941i</v>
      </c>
      <c r="O63">
        <f t="shared" ca="1" si="8"/>
        <v>30.873410267617786</v>
      </c>
      <c r="P63" t="str">
        <f t="shared" ca="1" si="25"/>
        <v>0.0537112021983894-1.37802567605469i</v>
      </c>
      <c r="Q63">
        <f t="shared" ca="1" si="19"/>
        <v>2.7917389905313428</v>
      </c>
      <c r="R63">
        <f t="shared" ca="1" si="26"/>
        <v>-87.767916619971899</v>
      </c>
      <c r="T63" t="str">
        <f t="shared" si="9"/>
        <v>1+0.8944i</v>
      </c>
      <c r="U63" t="str">
        <f t="shared" si="10"/>
        <v>1+0.052i</v>
      </c>
      <c r="V63" t="str">
        <f t="shared" si="11"/>
        <v>-0.0838550983899821i</v>
      </c>
      <c r="W63" t="str">
        <f t="shared" si="21"/>
        <v>0.0704490406777284-0.087518448505224i</v>
      </c>
      <c r="X63">
        <f t="shared" si="22"/>
        <v>-18.988530323966756</v>
      </c>
      <c r="Y63">
        <f t="shared" si="23"/>
        <v>-51.167250100436334</v>
      </c>
      <c r="Z63">
        <f t="shared" si="24"/>
        <v>827.60570407785576</v>
      </c>
      <c r="AA63">
        <f t="shared" ca="1" si="12"/>
        <v>-9.6510274660947246</v>
      </c>
      <c r="AB63">
        <f t="shared" ca="1" si="13"/>
        <v>-132.65245056161865</v>
      </c>
    </row>
    <row r="64" spans="1:28" x14ac:dyDescent="0.2">
      <c r="A64">
        <v>5300</v>
      </c>
      <c r="B64" t="str">
        <f t="shared" si="14"/>
        <v>5300i</v>
      </c>
      <c r="C64" t="str">
        <f t="shared" ca="1" si="0"/>
        <v>1+0.0713082608663654i</v>
      </c>
      <c r="D64" t="str">
        <f t="shared" ca="1" si="1"/>
        <v>1+0.0374365015518902i</v>
      </c>
      <c r="E64" t="str">
        <f t="shared" ca="1" si="2"/>
        <v>1+24.2250437970542i</v>
      </c>
      <c r="F64">
        <f t="shared" ca="1" si="3"/>
        <v>69.486139019499433</v>
      </c>
      <c r="G64" t="str">
        <f t="shared" ca="1" si="15"/>
        <v>0.429276245076375-2.8429821589728i</v>
      </c>
      <c r="H64">
        <f t="shared" ca="1" si="16"/>
        <v>9.1733877835798836</v>
      </c>
      <c r="I64">
        <f t="shared" ca="1" si="17"/>
        <v>-81.413484693430178</v>
      </c>
      <c r="K64" t="str">
        <f t="shared" ca="1" si="4"/>
        <v>1+0.0713082608663654i</v>
      </c>
      <c r="L64" t="str">
        <f t="shared" ca="1" si="5"/>
        <v>1-0.0196165288959799i</v>
      </c>
      <c r="M64" t="str">
        <f t="shared" ca="1" si="6"/>
        <v>1+22.8186434772369i</v>
      </c>
      <c r="N64" t="str">
        <f t="shared" si="7"/>
        <v>1+0.0574277353211651i</v>
      </c>
      <c r="O64">
        <f t="shared" ca="1" si="8"/>
        <v>30.873410267617786</v>
      </c>
      <c r="P64" t="str">
        <f t="shared" ca="1" si="25"/>
        <v>0.0514140896993597-1.35217959666793i</v>
      </c>
      <c r="Q64">
        <f t="shared" ca="1" si="19"/>
        <v>2.6269618815956539</v>
      </c>
      <c r="R64">
        <f t="shared" ca="1" si="26"/>
        <v>-87.822484570853959</v>
      </c>
      <c r="T64" t="str">
        <f t="shared" si="9"/>
        <v>1+0.9116i</v>
      </c>
      <c r="U64" t="str">
        <f t="shared" si="10"/>
        <v>1+0.053i</v>
      </c>
      <c r="V64" t="str">
        <f t="shared" si="11"/>
        <v>-0.0822729267222466i</v>
      </c>
      <c r="W64" t="str">
        <f t="shared" si="21"/>
        <v>0.0704416642488459-0.0860063349274354i</v>
      </c>
      <c r="X64">
        <f t="shared" si="22"/>
        <v>-19.080125314675179</v>
      </c>
      <c r="Y64">
        <f t="shared" si="23"/>
        <v>-50.681536573922301</v>
      </c>
      <c r="Z64">
        <f t="shared" si="24"/>
        <v>843.52119838704527</v>
      </c>
      <c r="AA64">
        <f t="shared" ca="1" si="12"/>
        <v>-9.9067375310952954</v>
      </c>
      <c r="AB64">
        <f t="shared" ca="1" si="13"/>
        <v>-132.09502126735248</v>
      </c>
    </row>
    <row r="65" spans="1:28" x14ac:dyDescent="0.2">
      <c r="A65">
        <v>5400</v>
      </c>
      <c r="B65" t="str">
        <f t="shared" si="14"/>
        <v>5400i</v>
      </c>
      <c r="C65" t="str">
        <f t="shared" ca="1" si="0"/>
        <v>1+0.0726536997506364i</v>
      </c>
      <c r="D65" t="str">
        <f t="shared" ca="1" si="1"/>
        <v>1+0.038142850637775i</v>
      </c>
      <c r="E65" t="str">
        <f t="shared" ca="1" si="2"/>
        <v>1+24.6821200951119i</v>
      </c>
      <c r="F65">
        <f t="shared" ca="1" si="3"/>
        <v>69.486139019499433</v>
      </c>
      <c r="G65" t="str">
        <f t="shared" ca="1" si="15"/>
        <v>0.424965407493476-2.79022272085202i</v>
      </c>
      <c r="H65">
        <f t="shared" ca="1" si="16"/>
        <v>9.0123694532953511</v>
      </c>
      <c r="I65">
        <f t="shared" ca="1" si="17"/>
        <v>-81.340106854640553</v>
      </c>
      <c r="K65" t="str">
        <f t="shared" ca="1" si="4"/>
        <v>1+0.0726536997506364i</v>
      </c>
      <c r="L65" t="str">
        <f t="shared" ca="1" si="5"/>
        <v>1-0.0199866520826965i</v>
      </c>
      <c r="M65" t="str">
        <f t="shared" ca="1" si="6"/>
        <v>1+23.2491839202037i</v>
      </c>
      <c r="N65" t="str">
        <f t="shared" si="7"/>
        <v>1+0.0585112774970362i</v>
      </c>
      <c r="O65">
        <f t="shared" ca="1" si="8"/>
        <v>30.873410267617786</v>
      </c>
      <c r="P65" t="str">
        <f t="shared" ca="1" si="25"/>
        <v>0.0492428668916819-1.32728635595231i</v>
      </c>
      <c r="Q65">
        <f t="shared" ca="1" si="19"/>
        <v>2.4652662946310815</v>
      </c>
      <c r="R65">
        <f t="shared" ca="1" si="26"/>
        <v>-87.875277629992766</v>
      </c>
      <c r="T65" t="str">
        <f t="shared" si="9"/>
        <v>1+0.9288i</v>
      </c>
      <c r="U65" t="str">
        <f t="shared" si="10"/>
        <v>1+0.054i</v>
      </c>
      <c r="V65" t="str">
        <f t="shared" si="11"/>
        <v>-0.080749354005168i</v>
      </c>
      <c r="W65" t="str">
        <f t="shared" si="21"/>
        <v>0.0704341489055124-0.0845527980460657i</v>
      </c>
      <c r="X65">
        <f t="shared" si="22"/>
        <v>-19.168506572081757</v>
      </c>
      <c r="Y65">
        <f t="shared" si="23"/>
        <v>-50.205034733374717</v>
      </c>
      <c r="Z65">
        <f t="shared" si="24"/>
        <v>859.4366926962349</v>
      </c>
      <c r="AA65">
        <f t="shared" ca="1" si="12"/>
        <v>-10.156137118786406</v>
      </c>
      <c r="AB65">
        <f t="shared" ca="1" si="13"/>
        <v>-131.54514158801527</v>
      </c>
    </row>
    <row r="66" spans="1:28" x14ac:dyDescent="0.2">
      <c r="A66">
        <v>5500</v>
      </c>
      <c r="B66" t="str">
        <f t="shared" si="14"/>
        <v>5500i</v>
      </c>
      <c r="C66" t="str">
        <f t="shared" ref="C66:C129" ca="1" si="27">IMSUM(1,IMDIV(B66,CcmWz1))</f>
        <v>1+0.0739991386349075i</v>
      </c>
      <c r="D66" t="str">
        <f t="shared" ref="D66:D129" ca="1" si="28">IMSUM(1,IMDIV(B66,CcmWz2))</f>
        <v>1+0.0388491997236597i</v>
      </c>
      <c r="E66" t="str">
        <f t="shared" ref="E66:E129" ca="1" si="29">IMSUM(1,IMDIV(B66,CcmWp1))</f>
        <v>1+25.1391963931695i</v>
      </c>
      <c r="F66">
        <f t="shared" ref="F66:F129" ca="1" si="30">CcmGo</f>
        <v>69.486139019499433</v>
      </c>
      <c r="G66" t="str">
        <f t="shared" ca="1" si="15"/>
        <v>0.420887066855861-2.73936730573164i</v>
      </c>
      <c r="H66">
        <f t="shared" ca="1" si="16"/>
        <v>8.8543354885069423</v>
      </c>
      <c r="I66">
        <f t="shared" ca="1" si="17"/>
        <v>-81.265158630514478</v>
      </c>
      <c r="K66" t="str">
        <f t="shared" ref="K66:K129" ca="1" si="31">IMSUM(1,IMDIV(B66,DcmWz1))</f>
        <v>1+0.0739991386349075i</v>
      </c>
      <c r="L66" t="str">
        <f t="shared" ref="L66:L129" ca="1" si="32">IMSUB(1,IMDIV($B66,DcmWz2))</f>
        <v>1-0.0203567752694131i</v>
      </c>
      <c r="M66" t="str">
        <f t="shared" ref="M66:M129" ca="1" si="33">IMSUM(1,IMDIV($B66,DcmWp1))</f>
        <v>1+23.6797243631704i</v>
      </c>
      <c r="N66" t="str">
        <f t="shared" ref="N66:N129" si="34">IMSUM(1,IMDIV($B66,DcmWp2))</f>
        <v>1+0.0595948196729072i</v>
      </c>
      <c r="O66">
        <f t="shared" ref="O66:O129" ca="1" si="35">DcmGo</f>
        <v>30.873410267617786</v>
      </c>
      <c r="P66" t="str">
        <f t="shared" ca="1" si="25"/>
        <v>0.0471884852190784-1.30329436227612i</v>
      </c>
      <c r="Q66">
        <f t="shared" ca="1" si="19"/>
        <v>2.3065399991089768</v>
      </c>
      <c r="R66">
        <f t="shared" ca="1" si="26"/>
        <v>-87.92639285754376</v>
      </c>
      <c r="T66" t="str">
        <f t="shared" ref="T66:T129" si="36">IMSUM(1,IMPRODUCT($B66,1/CompWz1))</f>
        <v>1+0.946i</v>
      </c>
      <c r="U66" t="str">
        <f t="shared" ref="U66:U129" si="37">IMSUM(1,IMPRODUCT($B66,1/CompWp1))</f>
        <v>1+0.055i</v>
      </c>
      <c r="V66" t="str">
        <f t="shared" ref="V66:V129" si="38">IMDIV(CompA,$B66)</f>
        <v>-0.0792811839323467i</v>
      </c>
      <c r="W66" t="str">
        <f t="shared" si="21"/>
        <v>0.0704264947371411-0.0831546411428895i</v>
      </c>
      <c r="X66">
        <f t="shared" si="22"/>
        <v>-19.253815409639525</v>
      </c>
      <c r="Y66">
        <f t="shared" si="23"/>
        <v>-49.737601916913462</v>
      </c>
      <c r="Z66">
        <f t="shared" si="24"/>
        <v>875.35218700542441</v>
      </c>
      <c r="AA66">
        <f t="shared" ref="AA66:AA129" ca="1" si="39">IF(IsDcmBode, X66+Q66,X66+H66)</f>
        <v>-10.399479921132583</v>
      </c>
      <c r="AB66">
        <f t="shared" ref="AB66:AB129" ca="1" si="40">IF(IsDcmBode, Y66+R66,Y66+I66)</f>
        <v>-131.00276054742795</v>
      </c>
    </row>
    <row r="67" spans="1:28" x14ac:dyDescent="0.2">
      <c r="A67">
        <v>5600</v>
      </c>
      <c r="B67" t="str">
        <f t="shared" ref="B67:B130" si="41">COMPLEX(0,A67)</f>
        <v>5600i</v>
      </c>
      <c r="C67" t="str">
        <f t="shared" ca="1" si="27"/>
        <v>1+0.0753445775191785i</v>
      </c>
      <c r="D67" t="str">
        <f t="shared" ca="1" si="28"/>
        <v>1+0.0395555488095444i</v>
      </c>
      <c r="E67" t="str">
        <f t="shared" ca="1" si="29"/>
        <v>1+25.5962726912271i</v>
      </c>
      <c r="F67">
        <f t="shared" ca="1" si="30"/>
        <v>69.486139019499433</v>
      </c>
      <c r="G67" t="str">
        <f t="shared" ref="G67:G130" ca="1" si="42">IMDIV(IMPRODUCT(F67,C67,D67),E67)</f>
        <v>0.417024808021504-2.69031455368934i</v>
      </c>
      <c r="H67">
        <f t="shared" ref="H67:H130" ca="1" si="43">20*LOG(IMABS(G67),10)</f>
        <v>8.6991795462845083</v>
      </c>
      <c r="I67">
        <f t="shared" ref="I67:I130" ca="1" si="44">IMARGUMENT(G67)*180/PI()</f>
        <v>-81.188725196833047</v>
      </c>
      <c r="K67" t="str">
        <f t="shared" ca="1" si="31"/>
        <v>1+0.0753445775191785i</v>
      </c>
      <c r="L67" t="str">
        <f t="shared" ca="1" si="32"/>
        <v>1-0.0207268984561297i</v>
      </c>
      <c r="M67" t="str">
        <f t="shared" ca="1" si="33"/>
        <v>1+24.1102648061371i</v>
      </c>
      <c r="N67" t="str">
        <f t="shared" si="34"/>
        <v>1+0.0606783618487782i</v>
      </c>
      <c r="O67">
        <f t="shared" ca="1" si="35"/>
        <v>30.873410267617786</v>
      </c>
      <c r="P67" t="str">
        <f t="shared" ca="1" si="25"/>
        <v>0.0452426939259689-1.28015567602151i</v>
      </c>
      <c r="Q67">
        <f t="shared" ref="Q67:Q130" ca="1" si="45">20*LOG(IMABS(P67),10)</f>
        <v>2.1506767875049486</v>
      </c>
      <c r="R67">
        <f t="shared" ca="1" si="26"/>
        <v>-87.975920409860535</v>
      </c>
      <c r="T67" t="str">
        <f t="shared" si="36"/>
        <v>1+0.9632i</v>
      </c>
      <c r="U67" t="str">
        <f t="shared" si="37"/>
        <v>1+0.056i</v>
      </c>
      <c r="V67" t="str">
        <f t="shared" si="38"/>
        <v>-0.0778654485049834i</v>
      </c>
      <c r="W67" t="str">
        <f t="shared" ref="W67:W130" si="46">IMDIV(IMPRODUCT(V67,T67),U67)</f>
        <v>0.0704187018347671-0.0818088958077304i</v>
      </c>
      <c r="X67">
        <f t="shared" ref="X67:X130" si="47">20*LOG(IMABS(W67),10)</f>
        <v>-19.336185704527075</v>
      </c>
      <c r="Y67">
        <f t="shared" ref="Y67:Y130" si="48">IMARGUMENT(W67)*180/PI()</f>
        <v>-49.279094183007714</v>
      </c>
      <c r="Z67">
        <f t="shared" ref="Z67:Z130" si="49">A67/(2*PI())</f>
        <v>891.26768131461392</v>
      </c>
      <c r="AA67">
        <f t="shared" ca="1" si="39"/>
        <v>-10.637006158242567</v>
      </c>
      <c r="AB67">
        <f t="shared" ca="1" si="40"/>
        <v>-130.46781937984076</v>
      </c>
    </row>
    <row r="68" spans="1:28" x14ac:dyDescent="0.2">
      <c r="A68">
        <v>5700</v>
      </c>
      <c r="B68" t="str">
        <f t="shared" si="41"/>
        <v>5700i</v>
      </c>
      <c r="C68" t="str">
        <f t="shared" ca="1" si="27"/>
        <v>1+0.0766900164034496i</v>
      </c>
      <c r="D68" t="str">
        <f t="shared" ca="1" si="28"/>
        <v>1+0.0402618978954291i</v>
      </c>
      <c r="E68" t="str">
        <f t="shared" ca="1" si="29"/>
        <v>1+26.0533489892847i</v>
      </c>
      <c r="F68">
        <f t="shared" ca="1" si="30"/>
        <v>69.486139019499433</v>
      </c>
      <c r="G68" t="str">
        <f t="shared" ca="1" si="42"/>
        <v>0.413363638707804-2.64297016316653i</v>
      </c>
      <c r="H68">
        <f t="shared" ca="1" si="43"/>
        <v>8.5468008952544245</v>
      </c>
      <c r="I68">
        <f t="shared" ca="1" si="44"/>
        <v>-81.110885788708046</v>
      </c>
      <c r="K68" t="str">
        <f t="shared" ca="1" si="31"/>
        <v>1+0.0766900164034496i</v>
      </c>
      <c r="L68" t="str">
        <f t="shared" ca="1" si="32"/>
        <v>1-0.0210970216428463i</v>
      </c>
      <c r="M68" t="str">
        <f t="shared" ca="1" si="33"/>
        <v>1+24.5408052491039i</v>
      </c>
      <c r="N68" t="str">
        <f t="shared" si="34"/>
        <v>1+0.0617619040246493i</v>
      </c>
      <c r="O68">
        <f t="shared" ca="1" si="35"/>
        <v>30.873410267617786</v>
      </c>
      <c r="P68" t="str">
        <f t="shared" ca="1" si="25"/>
        <v>0.0433979571588207-1.25782569261036i</v>
      </c>
      <c r="Q68">
        <f t="shared" ca="1" si="45"/>
        <v>1.9975760525890132</v>
      </c>
      <c r="R68">
        <f t="shared" ca="1" si="26"/>
        <v>-88.023944142966073</v>
      </c>
      <c r="T68" t="str">
        <f t="shared" si="36"/>
        <v>1+0.9804i</v>
      </c>
      <c r="U68" t="str">
        <f t="shared" si="37"/>
        <v>1+0.057i</v>
      </c>
      <c r="V68" t="str">
        <f t="shared" si="38"/>
        <v>-0.076499388004896i</v>
      </c>
      <c r="W68" t="str">
        <f t="shared" si="46"/>
        <v>0.0704107702910453-0.0805128019114856i</v>
      </c>
      <c r="X68">
        <f t="shared" si="47"/>
        <v>-19.415744369956865</v>
      </c>
      <c r="Y68">
        <f t="shared" si="48"/>
        <v>-48.829366657970304</v>
      </c>
      <c r="Z68">
        <f t="shared" si="49"/>
        <v>907.18317562380344</v>
      </c>
      <c r="AA68">
        <f t="shared" ca="1" si="39"/>
        <v>-10.868943474702441</v>
      </c>
      <c r="AB68">
        <f t="shared" ca="1" si="40"/>
        <v>-129.94025244667836</v>
      </c>
    </row>
    <row r="69" spans="1:28" x14ac:dyDescent="0.2">
      <c r="A69">
        <v>5800</v>
      </c>
      <c r="B69" t="str">
        <f t="shared" si="41"/>
        <v>5800i</v>
      </c>
      <c r="C69" t="str">
        <f t="shared" ca="1" si="27"/>
        <v>1+0.0780354552877206i</v>
      </c>
      <c r="D69" t="str">
        <f t="shared" ca="1" si="28"/>
        <v>1+0.0409682469813138i</v>
      </c>
      <c r="E69" t="str">
        <f t="shared" ca="1" si="29"/>
        <v>1+26.5104252873424i</v>
      </c>
      <c r="F69">
        <f t="shared" ca="1" si="30"/>
        <v>69.486139019499433</v>
      </c>
      <c r="G69" t="str">
        <f t="shared" ca="1" si="42"/>
        <v>0.409889844085714-2.5972462879735i</v>
      </c>
      <c r="H69">
        <f t="shared" ca="1" si="43"/>
        <v>8.3971040281133149</v>
      </c>
      <c r="I69">
        <f t="shared" ca="1" si="44"/>
        <v>-81.031714211150444</v>
      </c>
      <c r="K69" t="str">
        <f t="shared" ca="1" si="31"/>
        <v>1+0.0780354552877206i</v>
      </c>
      <c r="L69" t="str">
        <f t="shared" ca="1" si="32"/>
        <v>1-0.0214671448295629i</v>
      </c>
      <c r="M69" t="str">
        <f t="shared" ca="1" si="33"/>
        <v>1+24.9713456920706i</v>
      </c>
      <c r="N69" t="str">
        <f t="shared" si="34"/>
        <v>1+0.0628454462005203i</v>
      </c>
      <c r="O69">
        <f t="shared" ca="1" si="35"/>
        <v>30.873410267617786</v>
      </c>
      <c r="P69" t="str">
        <f t="shared" ca="1" si="25"/>
        <v>0.0416473809405038-1.23626285792533i</v>
      </c>
      <c r="Q69">
        <f t="shared" ca="1" si="45"/>
        <v>1.8471424010988899</v>
      </c>
      <c r="R69">
        <f t="shared" ca="1" si="26"/>
        <v>-88.070542153842169</v>
      </c>
      <c r="T69" t="str">
        <f t="shared" si="36"/>
        <v>1+0.9976i</v>
      </c>
      <c r="U69" t="str">
        <f t="shared" si="37"/>
        <v>1+0.058i</v>
      </c>
      <c r="V69" t="str">
        <f t="shared" si="38"/>
        <v>-0.0751804330392943i</v>
      </c>
      <c r="W69" t="str">
        <f t="shared" si="46"/>
        <v>0.0704027002002473-0.0792637896509086i</v>
      </c>
      <c r="X69">
        <f t="shared" si="47"/>
        <v>-19.492611790361213</v>
      </c>
      <c r="Y69">
        <f t="shared" si="48"/>
        <v>-48.38827385765989</v>
      </c>
      <c r="Z69">
        <f t="shared" si="49"/>
        <v>923.09866993299295</v>
      </c>
      <c r="AA69">
        <f t="shared" ca="1" si="39"/>
        <v>-11.095507762247898</v>
      </c>
      <c r="AB69">
        <f t="shared" ca="1" si="40"/>
        <v>-129.41998806881034</v>
      </c>
    </row>
    <row r="70" spans="1:28" x14ac:dyDescent="0.2">
      <c r="A70">
        <v>5900</v>
      </c>
      <c r="B70" t="str">
        <f t="shared" si="41"/>
        <v>5900i</v>
      </c>
      <c r="C70" t="str">
        <f t="shared" ca="1" si="27"/>
        <v>1+0.0793808941719917i</v>
      </c>
      <c r="D70" t="str">
        <f t="shared" ca="1" si="28"/>
        <v>1+0.0416745960671986i</v>
      </c>
      <c r="E70" t="str">
        <f t="shared" ca="1" si="29"/>
        <v>1+26.9675015854i</v>
      </c>
      <c r="F70">
        <f t="shared" ca="1" si="30"/>
        <v>69.486139019499433</v>
      </c>
      <c r="G70" t="str">
        <f t="shared" ca="1" si="42"/>
        <v>0.406590858411398-2.55306099498449i</v>
      </c>
      <c r="H70">
        <f t="shared" ca="1" si="43"/>
        <v>8.2499983069725022</v>
      </c>
      <c r="I70">
        <f t="shared" ca="1" si="44"/>
        <v>-80.951279297892</v>
      </c>
      <c r="K70" t="str">
        <f t="shared" ca="1" si="31"/>
        <v>1+0.0793808941719917i</v>
      </c>
      <c r="L70" t="str">
        <f t="shared" ca="1" si="32"/>
        <v>1-0.0218372680162795i</v>
      </c>
      <c r="M70" t="str">
        <f t="shared" ca="1" si="33"/>
        <v>1+25.4018861350373i</v>
      </c>
      <c r="N70" t="str">
        <f t="shared" si="34"/>
        <v>1+0.0639289883763914i</v>
      </c>
      <c r="O70">
        <f t="shared" ca="1" si="35"/>
        <v>30.873410267617786</v>
      </c>
      <c r="P70" t="str">
        <f t="shared" ca="1" si="25"/>
        <v>0.0399846486970226-1.21542841233431i</v>
      </c>
      <c r="Q70">
        <f t="shared" ca="1" si="45"/>
        <v>1.6992853001065411</v>
      </c>
      <c r="R70">
        <f t="shared" ca="1" si="26"/>
        <v>-88.115787266882307</v>
      </c>
      <c r="T70" t="str">
        <f t="shared" si="36"/>
        <v>1+1.0148i</v>
      </c>
      <c r="U70" t="str">
        <f t="shared" si="37"/>
        <v>1+0.059i</v>
      </c>
      <c r="V70" t="str">
        <f t="shared" si="38"/>
        <v>-0.0739061884115097i</v>
      </c>
      <c r="W70" t="str">
        <f t="shared" si="46"/>
        <v>0.0703944916582585-0.0780594634193469i</v>
      </c>
      <c r="X70">
        <f t="shared" si="47"/>
        <v>-19.566902223097401</v>
      </c>
      <c r="Y70">
        <f t="shared" si="48"/>
        <v>-47.955669984496438</v>
      </c>
      <c r="Z70">
        <f t="shared" si="49"/>
        <v>939.01416424218257</v>
      </c>
      <c r="AA70">
        <f t="shared" ca="1" si="39"/>
        <v>-11.316903916124899</v>
      </c>
      <c r="AB70">
        <f t="shared" ca="1" si="40"/>
        <v>-128.90694928238844</v>
      </c>
    </row>
    <row r="71" spans="1:28" x14ac:dyDescent="0.2">
      <c r="A71">
        <v>6000</v>
      </c>
      <c r="B71" t="str">
        <f t="shared" si="41"/>
        <v>6000i</v>
      </c>
      <c r="C71" t="str">
        <f t="shared" ca="1" si="27"/>
        <v>1+0.0807263330562627i</v>
      </c>
      <c r="D71" t="str">
        <f t="shared" ca="1" si="28"/>
        <v>1+0.0423809451530833i</v>
      </c>
      <c r="E71" t="str">
        <f t="shared" ca="1" si="29"/>
        <v>1+27.4245778834576i</v>
      </c>
      <c r="F71">
        <f t="shared" ca="1" si="30"/>
        <v>69.486139019499433</v>
      </c>
      <c r="G71" t="str">
        <f t="shared" ca="1" si="42"/>
        <v>0.403455151452467-2.51033777552356i</v>
      </c>
      <c r="H71">
        <f t="shared" ca="1" si="43"/>
        <v>8.1053976382541322</v>
      </c>
      <c r="I71">
        <f t="shared" ca="1" si="44"/>
        <v>-80.869645324474106</v>
      </c>
      <c r="K71" t="str">
        <f t="shared" ca="1" si="31"/>
        <v>1+0.0807263330562627i</v>
      </c>
      <c r="L71" t="str">
        <f t="shared" ca="1" si="32"/>
        <v>1-0.0222073912029961i</v>
      </c>
      <c r="M71" t="str">
        <f t="shared" ca="1" si="33"/>
        <v>1+25.8324265780041i</v>
      </c>
      <c r="N71" t="str">
        <f t="shared" si="34"/>
        <v>1+0.0650125305522624i</v>
      </c>
      <c r="O71">
        <f t="shared" ca="1" si="35"/>
        <v>30.873410267617786</v>
      </c>
      <c r="P71" t="str">
        <f t="shared" ca="1" si="25"/>
        <v>0.0384039642113578-1.19528616002505i</v>
      </c>
      <c r="Q71">
        <f t="shared" ca="1" si="45"/>
        <v>1.5539187528202554</v>
      </c>
      <c r="R71">
        <f t="shared" ca="1" si="26"/>
        <v>-88.159747471877665</v>
      </c>
      <c r="T71" t="str">
        <f t="shared" si="36"/>
        <v>1+1.032i</v>
      </c>
      <c r="U71" t="str">
        <f t="shared" si="37"/>
        <v>1+0.06i</v>
      </c>
      <c r="V71" t="str">
        <f t="shared" si="38"/>
        <v>-0.0726744186046512i</v>
      </c>
      <c r="W71" t="str">
        <f t="shared" si="46"/>
        <v>0.0703861447625756-0.0768975872904057i</v>
      </c>
      <c r="X71">
        <f t="shared" si="47"/>
        <v>-19.638724169881232</v>
      </c>
      <c r="Y71">
        <f t="shared" si="48"/>
        <v>-47.531409200920393</v>
      </c>
      <c r="Z71">
        <f t="shared" si="49"/>
        <v>954.92965855137209</v>
      </c>
      <c r="AA71">
        <f t="shared" ca="1" si="39"/>
        <v>-11.5333265316271</v>
      </c>
      <c r="AB71">
        <f t="shared" ca="1" si="40"/>
        <v>-128.4010545253945</v>
      </c>
    </row>
    <row r="72" spans="1:28" x14ac:dyDescent="0.2">
      <c r="A72">
        <v>6100</v>
      </c>
      <c r="B72" t="str">
        <f t="shared" si="41"/>
        <v>6100i</v>
      </c>
      <c r="C72" t="str">
        <f t="shared" ca="1" si="27"/>
        <v>1+0.0820717719405337i</v>
      </c>
      <c r="D72" t="str">
        <f t="shared" ca="1" si="28"/>
        <v>1+0.043087294238968i</v>
      </c>
      <c r="E72" t="str">
        <f t="shared" ca="1" si="29"/>
        <v>1+27.8816541815153i</v>
      </c>
      <c r="F72">
        <f t="shared" ca="1" si="30"/>
        <v>69.486139019499433</v>
      </c>
      <c r="G72" t="str">
        <f t="shared" ca="1" si="42"/>
        <v>0.400472127792594-2.46900510434912i</v>
      </c>
      <c r="H72">
        <f t="shared" ca="1" si="43"/>
        <v>7.9632201742375752</v>
      </c>
      <c r="I72">
        <f t="shared" ca="1" si="44"/>
        <v>-80.786872380832563</v>
      </c>
      <c r="K72" t="str">
        <f t="shared" ca="1" si="31"/>
        <v>1+0.0820717719405337i</v>
      </c>
      <c r="L72" t="str">
        <f t="shared" ca="1" si="32"/>
        <v>1-0.0225775143897127i</v>
      </c>
      <c r="M72" t="str">
        <f t="shared" ca="1" si="33"/>
        <v>1+26.2629670209708i</v>
      </c>
      <c r="N72" t="str">
        <f t="shared" si="34"/>
        <v>1+0.0660960727281334i</v>
      </c>
      <c r="O72">
        <f t="shared" ca="1" si="35"/>
        <v>30.873410267617786</v>
      </c>
      <c r="P72" t="str">
        <f t="shared" ca="1" si="25"/>
        <v>0.036900001042919-1.17580226078194i</v>
      </c>
      <c r="Q72">
        <f t="shared" ca="1" si="45"/>
        <v>1.4109610009334583</v>
      </c>
      <c r="R72">
        <f t="shared" ca="1" si="26"/>
        <v>-88.202486319076229</v>
      </c>
      <c r="T72" t="str">
        <f t="shared" si="36"/>
        <v>1+1.0492i</v>
      </c>
      <c r="U72" t="str">
        <f t="shared" si="37"/>
        <v>1+0.061i</v>
      </c>
      <c r="V72" t="str">
        <f t="shared" si="38"/>
        <v>-0.0714830346930995i</v>
      </c>
      <c r="W72" t="str">
        <f t="shared" si="46"/>
        <v>0.0703776596123036-0.07577607192945i</v>
      </c>
      <c r="X72">
        <f t="shared" si="47"/>
        <v>-19.708180720785009</v>
      </c>
      <c r="Y72">
        <f t="shared" si="48"/>
        <v>-47.115345880439733</v>
      </c>
      <c r="Z72">
        <f t="shared" si="49"/>
        <v>970.8451528605616</v>
      </c>
      <c r="AA72">
        <f t="shared" ca="1" si="39"/>
        <v>-11.744960546547434</v>
      </c>
      <c r="AB72">
        <f t="shared" ca="1" si="40"/>
        <v>-127.9022182612723</v>
      </c>
    </row>
    <row r="73" spans="1:28" x14ac:dyDescent="0.2">
      <c r="A73">
        <v>6200</v>
      </c>
      <c r="B73" t="str">
        <f t="shared" si="41"/>
        <v>6200i</v>
      </c>
      <c r="C73" t="str">
        <f t="shared" ca="1" si="27"/>
        <v>1+0.0834172108248048i</v>
      </c>
      <c r="D73" t="str">
        <f t="shared" ca="1" si="28"/>
        <v>1+0.0437936433248527i</v>
      </c>
      <c r="E73" t="str">
        <f t="shared" ca="1" si="29"/>
        <v>1+28.3387304795729i</v>
      </c>
      <c r="F73">
        <f t="shared" ca="1" si="30"/>
        <v>69.486139019499433</v>
      </c>
      <c r="G73" t="str">
        <f t="shared" ca="1" si="42"/>
        <v>0.397632037372871-2.42899604092088i</v>
      </c>
      <c r="H73">
        <f t="shared" ca="1" si="43"/>
        <v>7.8233880386799459</v>
      </c>
      <c r="I73">
        <f t="shared" ca="1" si="44"/>
        <v>-80.70301670793576</v>
      </c>
      <c r="K73" t="str">
        <f t="shared" ca="1" si="31"/>
        <v>1+0.0834172108248048i</v>
      </c>
      <c r="L73" t="str">
        <f t="shared" ca="1" si="32"/>
        <v>1-0.0229476375764293i</v>
      </c>
      <c r="M73" t="str">
        <f t="shared" ca="1" si="33"/>
        <v>1+26.6935074639375i</v>
      </c>
      <c r="N73" t="str">
        <f t="shared" si="34"/>
        <v>1+0.0671796149040045i</v>
      </c>
      <c r="O73">
        <f t="shared" ca="1" si="35"/>
        <v>30.873410267617786</v>
      </c>
      <c r="P73" t="str">
        <f t="shared" ca="1" si="25"/>
        <v>0.0354678575888628-1.15694504170202i</v>
      </c>
      <c r="Q73">
        <f t="shared" ca="1" si="45"/>
        <v>1.2703342509576223</v>
      </c>
      <c r="R73">
        <f t="shared" ca="1" si="26"/>
        <v>-88.24406327614119</v>
      </c>
      <c r="T73" t="str">
        <f t="shared" si="36"/>
        <v>1+1.0664i</v>
      </c>
      <c r="U73" t="str">
        <f t="shared" si="37"/>
        <v>1+0.062i</v>
      </c>
      <c r="V73" t="str">
        <f t="shared" si="38"/>
        <v>-0.0703300825206302i</v>
      </c>
      <c r="W73" t="str">
        <f t="shared" si="46"/>
        <v>0.0703690363081524-0.0746929627717356i</v>
      </c>
      <c r="X73">
        <f t="shared" si="47"/>
        <v>-19.775369873313</v>
      </c>
      <c r="Y73">
        <f t="shared" si="48"/>
        <v>-46.707334837409476</v>
      </c>
      <c r="Z73">
        <f t="shared" si="49"/>
        <v>986.76064716975111</v>
      </c>
      <c r="AA73">
        <f t="shared" ca="1" si="39"/>
        <v>-11.951981834633054</v>
      </c>
      <c r="AB73">
        <f t="shared" ca="1" si="40"/>
        <v>-127.41035154534524</v>
      </c>
    </row>
    <row r="74" spans="1:28" x14ac:dyDescent="0.2">
      <c r="A74">
        <v>6300</v>
      </c>
      <c r="B74" t="str">
        <f t="shared" si="41"/>
        <v>6300i</v>
      </c>
      <c r="C74" t="str">
        <f t="shared" ca="1" si="27"/>
        <v>1+0.0847626497090758i</v>
      </c>
      <c r="D74" t="str">
        <f t="shared" ca="1" si="28"/>
        <v>1+0.0444999924107374i</v>
      </c>
      <c r="E74" t="str">
        <f t="shared" ca="1" si="29"/>
        <v>1+28.7958067776305i</v>
      </c>
      <c r="F74">
        <f t="shared" ca="1" si="30"/>
        <v>69.486139019499433</v>
      </c>
      <c r="G74" t="str">
        <f t="shared" ca="1" si="42"/>
        <v>0.394925895859928-2.39024786829997i</v>
      </c>
      <c r="H74">
        <f t="shared" ca="1" si="43"/>
        <v>7.6858270742196835</v>
      </c>
      <c r="I74">
        <f t="shared" ca="1" si="44"/>
        <v>-80.618131002456181</v>
      </c>
      <c r="K74" t="str">
        <f t="shared" ca="1" si="31"/>
        <v>1+0.0847626497090758i</v>
      </c>
      <c r="L74" t="str">
        <f t="shared" ca="1" si="32"/>
        <v>1-0.0233177607631459i</v>
      </c>
      <c r="M74" t="str">
        <f t="shared" ca="1" si="33"/>
        <v>1+27.1240479069043i</v>
      </c>
      <c r="N74" t="str">
        <f t="shared" si="34"/>
        <v>1+0.0682631570798755i</v>
      </c>
      <c r="O74">
        <f t="shared" ca="1" si="35"/>
        <v>30.873410267617786</v>
      </c>
      <c r="P74" t="str">
        <f t="shared" ca="1" si="25"/>
        <v>0.0341030170796812-1.13868482666099i</v>
      </c>
      <c r="Q74">
        <f t="shared" ca="1" si="45"/>
        <v>1.1319644222613072</v>
      </c>
      <c r="R74">
        <f t="shared" ca="1" si="26"/>
        <v>-88.284534051226728</v>
      </c>
      <c r="T74" t="str">
        <f t="shared" si="36"/>
        <v>1+1.0836i</v>
      </c>
      <c r="U74" t="str">
        <f t="shared" si="37"/>
        <v>1+0.063i</v>
      </c>
      <c r="V74" t="str">
        <f t="shared" si="38"/>
        <v>-0.0692137320044297i</v>
      </c>
      <c r="W74" t="str">
        <f t="shared" si="46"/>
        <v>0.0703602749524347-0.0736464293264331i</v>
      </c>
      <c r="X74">
        <f t="shared" si="47"/>
        <v>-19.840384828786718</v>
      </c>
      <c r="Y74">
        <f t="shared" si="48"/>
        <v>-46.307231536680689</v>
      </c>
      <c r="Z74">
        <f t="shared" si="49"/>
        <v>1002.6761414789406</v>
      </c>
      <c r="AA74">
        <f t="shared" ca="1" si="39"/>
        <v>-12.154557754567033</v>
      </c>
      <c r="AB74">
        <f t="shared" ca="1" si="40"/>
        <v>-126.92536253913687</v>
      </c>
    </row>
    <row r="75" spans="1:28" x14ac:dyDescent="0.2">
      <c r="A75">
        <v>6400</v>
      </c>
      <c r="B75" t="str">
        <f t="shared" si="41"/>
        <v>6400i</v>
      </c>
      <c r="C75" t="str">
        <f t="shared" ca="1" si="27"/>
        <v>1+0.0861080885933469i</v>
      </c>
      <c r="D75" t="str">
        <f t="shared" ca="1" si="28"/>
        <v>1+0.0452063414966222i</v>
      </c>
      <c r="E75" t="str">
        <f t="shared" ca="1" si="29"/>
        <v>1+29.2528830756881i</v>
      </c>
      <c r="F75">
        <f t="shared" ca="1" si="30"/>
        <v>69.486139019499433</v>
      </c>
      <c r="G75" t="str">
        <f t="shared" ca="1" si="42"/>
        <v>0.392345413626752-2.35270176560792i</v>
      </c>
      <c r="H75">
        <f t="shared" ca="1" si="43"/>
        <v>7.5504666095240456</v>
      </c>
      <c r="I75">
        <f t="shared" ca="1" si="44"/>
        <v>-80.532264692960197</v>
      </c>
      <c r="K75" t="str">
        <f t="shared" ca="1" si="31"/>
        <v>1+0.0861080885933469i</v>
      </c>
      <c r="L75" t="str">
        <f t="shared" ca="1" si="32"/>
        <v>1-0.0236878839498625i</v>
      </c>
      <c r="M75" t="str">
        <f t="shared" ca="1" si="33"/>
        <v>1+27.554588349871i</v>
      </c>
      <c r="N75" t="str">
        <f t="shared" si="34"/>
        <v>1+0.0693466992557466i</v>
      </c>
      <c r="O75">
        <f t="shared" ca="1" si="35"/>
        <v>30.873410267617786</v>
      </c>
      <c r="P75" t="str">
        <f t="shared" ca="1" si="25"/>
        <v>0.0328013118997218-1.12099378160975i</v>
      </c>
      <c r="Q75">
        <f t="shared" ca="1" si="45"/>
        <v>0.99578091478324993</v>
      </c>
      <c r="R75">
        <f t="shared" ca="1" si="26"/>
        <v>-88.323950885862672</v>
      </c>
      <c r="T75" t="str">
        <f t="shared" si="36"/>
        <v>1+1.1008i</v>
      </c>
      <c r="U75" t="str">
        <f t="shared" si="37"/>
        <v>1+0.064i</v>
      </c>
      <c r="V75" t="str">
        <f t="shared" si="38"/>
        <v>-0.0681322674418605i</v>
      </c>
      <c r="W75" t="str">
        <f t="shared" si="46"/>
        <v>0.0703513756490624-0.0726347554834005i</v>
      </c>
      <c r="X75">
        <f t="shared" si="47"/>
        <v>-19.903314268028531</v>
      </c>
      <c r="Y75">
        <f t="shared" si="48"/>
        <v>-45.91489228424328</v>
      </c>
      <c r="Z75">
        <f t="shared" si="49"/>
        <v>1018.5916357881301</v>
      </c>
      <c r="AA75">
        <f t="shared" ca="1" si="39"/>
        <v>-12.352847658504485</v>
      </c>
      <c r="AB75">
        <f t="shared" ca="1" si="40"/>
        <v>-126.44715697720348</v>
      </c>
    </row>
    <row r="76" spans="1:28" x14ac:dyDescent="0.2">
      <c r="A76">
        <v>6500</v>
      </c>
      <c r="B76" t="str">
        <f t="shared" si="41"/>
        <v>6500i</v>
      </c>
      <c r="C76" t="str">
        <f t="shared" ca="1" si="27"/>
        <v>1+0.0874535274776179i</v>
      </c>
      <c r="D76" t="str">
        <f t="shared" ca="1" si="28"/>
        <v>1+0.0459126905825069i</v>
      </c>
      <c r="E76" t="str">
        <f t="shared" ca="1" si="29"/>
        <v>1+29.7099593737458i</v>
      </c>
      <c r="F76">
        <f t="shared" ca="1" si="30"/>
        <v>69.486139019499433</v>
      </c>
      <c r="G76" t="str">
        <f t="shared" ca="1" si="42"/>
        <v>0.389882932298192-2.31630251046547i</v>
      </c>
      <c r="H76">
        <f t="shared" ca="1" si="43"/>
        <v>7.4172392443582824</v>
      </c>
      <c r="I76">
        <f t="shared" ca="1" si="44"/>
        <v>-80.445464190673917</v>
      </c>
      <c r="K76" t="str">
        <f t="shared" ca="1" si="31"/>
        <v>1+0.0874535274776179i</v>
      </c>
      <c r="L76" t="str">
        <f t="shared" ca="1" si="32"/>
        <v>1-0.0240580071365791i</v>
      </c>
      <c r="M76" t="str">
        <f t="shared" ca="1" si="33"/>
        <v>1+27.9851287928377i</v>
      </c>
      <c r="N76" t="str">
        <f t="shared" si="34"/>
        <v>1+0.0704302414316176i</v>
      </c>
      <c r="O76">
        <f t="shared" ca="1" si="35"/>
        <v>30.873410267617786</v>
      </c>
      <c r="P76" t="str">
        <f t="shared" ca="1" si="25"/>
        <v>0.0315588917066308-1.10384577401551i</v>
      </c>
      <c r="Q76">
        <f t="shared" ca="1" si="45"/>
        <v>0.86171639460728033</v>
      </c>
      <c r="R76">
        <f t="shared" ca="1" si="26"/>
        <v>-88.362362820887697</v>
      </c>
      <c r="T76" t="str">
        <f t="shared" si="36"/>
        <v>1+1.118i</v>
      </c>
      <c r="U76" t="str">
        <f t="shared" si="37"/>
        <v>1+0.065i</v>
      </c>
      <c r="V76" t="str">
        <f t="shared" si="38"/>
        <v>-0.0670840787119857i</v>
      </c>
      <c r="W76" t="str">
        <f t="shared" si="46"/>
        <v>0.0703423385035435-0.071656330714716i</v>
      </c>
      <c r="X76">
        <f t="shared" si="47"/>
        <v>-19.96424260811899</v>
      </c>
      <c r="Y76">
        <f t="shared" si="48"/>
        <v>-45.530174399963478</v>
      </c>
      <c r="Z76">
        <f t="shared" si="49"/>
        <v>1034.5071300973198</v>
      </c>
      <c r="AA76">
        <f t="shared" ca="1" si="39"/>
        <v>-12.547003363760709</v>
      </c>
      <c r="AB76">
        <f t="shared" ca="1" si="40"/>
        <v>-125.9756385906374</v>
      </c>
    </row>
    <row r="77" spans="1:28" x14ac:dyDescent="0.2">
      <c r="A77">
        <v>6600</v>
      </c>
      <c r="B77" t="str">
        <f t="shared" si="41"/>
        <v>6600i</v>
      </c>
      <c r="C77" t="str">
        <f t="shared" ca="1" si="27"/>
        <v>1+0.088798966361889i</v>
      </c>
      <c r="D77" t="str">
        <f t="shared" ca="1" si="28"/>
        <v>1+0.0466190396683916i</v>
      </c>
      <c r="E77" t="str">
        <f t="shared" ca="1" si="29"/>
        <v>1+30.1670356718034i</v>
      </c>
      <c r="F77">
        <f t="shared" ca="1" si="30"/>
        <v>69.486139019499433</v>
      </c>
      <c r="G77" t="str">
        <f t="shared" ca="1" si="42"/>
        <v>0.38753136795447-2.28099820826177i</v>
      </c>
      <c r="H77">
        <f t="shared" ca="1" si="43"/>
        <v>7.2860806509489251</v>
      </c>
      <c r="I77">
        <f t="shared" ca="1" si="44"/>
        <v>-80.35777311751248</v>
      </c>
      <c r="K77" t="str">
        <f t="shared" ca="1" si="31"/>
        <v>1+0.088798966361889i</v>
      </c>
      <c r="L77" t="str">
        <f t="shared" ca="1" si="32"/>
        <v>1-0.0244281303232957i</v>
      </c>
      <c r="M77" t="str">
        <f t="shared" ca="1" si="33"/>
        <v>1+28.4156692358045i</v>
      </c>
      <c r="N77" t="str">
        <f t="shared" si="34"/>
        <v>1+0.0715137836074886i</v>
      </c>
      <c r="O77">
        <f t="shared" ca="1" si="35"/>
        <v>30.873410267617786</v>
      </c>
      <c r="P77" t="str">
        <f t="shared" ca="1" si="25"/>
        <v>0.0303721948945681-1.08721624496335i</v>
      </c>
      <c r="Q77">
        <f t="shared" ca="1" si="45"/>
        <v>0.7297065957782698</v>
      </c>
      <c r="R77">
        <f t="shared" ca="1" si="26"/>
        <v>-88.399815938280256</v>
      </c>
      <c r="T77" t="str">
        <f t="shared" si="36"/>
        <v>1+1.1352i</v>
      </c>
      <c r="U77" t="str">
        <f t="shared" si="37"/>
        <v>1+0.066i</v>
      </c>
      <c r="V77" t="str">
        <f t="shared" si="38"/>
        <v>-0.0660676532769556i</v>
      </c>
      <c r="W77" t="str">
        <f t="shared" si="46"/>
        <v>0.0703331636229792-0.0707096420760722i</v>
      </c>
      <c r="X77">
        <f t="shared" si="47"/>
        <v>-20.023250241817138</v>
      </c>
      <c r="Y77">
        <f t="shared" si="48"/>
        <v>-45.152936373490867</v>
      </c>
      <c r="Z77">
        <f t="shared" si="49"/>
        <v>1050.4226244065092</v>
      </c>
      <c r="AA77">
        <f t="shared" ca="1" si="39"/>
        <v>-12.737169590868213</v>
      </c>
      <c r="AB77">
        <f t="shared" ca="1" si="40"/>
        <v>-125.51070949100335</v>
      </c>
    </row>
    <row r="78" spans="1:28" x14ac:dyDescent="0.2">
      <c r="A78">
        <v>6700</v>
      </c>
      <c r="B78" t="str">
        <f t="shared" si="41"/>
        <v>6700i</v>
      </c>
      <c r="C78" t="str">
        <f t="shared" ca="1" si="27"/>
        <v>1+0.09014440524616i</v>
      </c>
      <c r="D78" t="str">
        <f t="shared" ca="1" si="28"/>
        <v>1+0.0473253887542763i</v>
      </c>
      <c r="E78" t="str">
        <f t="shared" ca="1" si="29"/>
        <v>1+30.624111969861i</v>
      </c>
      <c r="F78">
        <f t="shared" ca="1" si="30"/>
        <v>69.486139019499433</v>
      </c>
      <c r="G78" t="str">
        <f t="shared" ca="1" si="42"/>
        <v>0.385284160206331-2.24674004547627i</v>
      </c>
      <c r="H78">
        <f t="shared" ca="1" si="43"/>
        <v>7.1569293901818583</v>
      </c>
      <c r="I78">
        <f t="shared" ca="1" si="44"/>
        <v>-80.269232513741926</v>
      </c>
      <c r="K78" t="str">
        <f t="shared" ca="1" si="31"/>
        <v>1+0.09014440524616i</v>
      </c>
      <c r="L78" t="str">
        <f t="shared" ca="1" si="32"/>
        <v>1-0.0247982535100123i</v>
      </c>
      <c r="M78" t="str">
        <f t="shared" ca="1" si="33"/>
        <v>1+28.8462096787712i</v>
      </c>
      <c r="N78" t="str">
        <f t="shared" si="34"/>
        <v>1+0.0725973257833597i</v>
      </c>
      <c r="O78">
        <f t="shared" ca="1" si="35"/>
        <v>30.873410267617786</v>
      </c>
      <c r="P78" t="str">
        <f t="shared" ca="1" si="25"/>
        <v>0.0292379230064717-1.07108209260909i</v>
      </c>
      <c r="Q78">
        <f t="shared" ca="1" si="45"/>
        <v>0.5996901369062182</v>
      </c>
      <c r="R78">
        <f t="shared" ca="1" si="26"/>
        <v>-88.436353581395792</v>
      </c>
      <c r="T78" t="str">
        <f t="shared" si="36"/>
        <v>1+1.1524i</v>
      </c>
      <c r="U78" t="str">
        <f t="shared" si="37"/>
        <v>1+0.067i</v>
      </c>
      <c r="V78" t="str">
        <f t="shared" si="38"/>
        <v>-0.0650815688996876i</v>
      </c>
      <c r="W78" t="str">
        <f t="shared" si="46"/>
        <v>0.0703238511160609-0.0697932669244637i</v>
      </c>
      <c r="X78">
        <f t="shared" si="47"/>
        <v>-20.080413761069874</v>
      </c>
      <c r="Y78">
        <f t="shared" si="48"/>
        <v>-44.783038004379392</v>
      </c>
      <c r="Z78">
        <f t="shared" si="49"/>
        <v>1066.3381187156988</v>
      </c>
      <c r="AA78">
        <f t="shared" ca="1" si="39"/>
        <v>-12.923484370888016</v>
      </c>
      <c r="AB78">
        <f t="shared" ca="1" si="40"/>
        <v>-125.05227051812132</v>
      </c>
    </row>
    <row r="79" spans="1:28" x14ac:dyDescent="0.2">
      <c r="A79">
        <v>6800</v>
      </c>
      <c r="B79" t="str">
        <f t="shared" si="41"/>
        <v>6800i</v>
      </c>
      <c r="C79" t="str">
        <f t="shared" ca="1" si="27"/>
        <v>1+0.0914898441304311i</v>
      </c>
      <c r="D79" t="str">
        <f t="shared" ca="1" si="28"/>
        <v>1+0.0480317378401611i</v>
      </c>
      <c r="E79" t="str">
        <f t="shared" ca="1" si="29"/>
        <v>1+31.0811882679186i</v>
      </c>
      <c r="F79">
        <f t="shared" ca="1" si="30"/>
        <v>69.486139019499433</v>
      </c>
      <c r="G79" t="str">
        <f t="shared" ca="1" si="42"/>
        <v>0.383135226458512-2.21348206459958i</v>
      </c>
      <c r="H79">
        <f t="shared" ca="1" si="43"/>
        <v>7.0297267413277984</v>
      </c>
      <c r="I79">
        <f t="shared" ca="1" si="44"/>
        <v>-80.17988102736382</v>
      </c>
      <c r="K79" t="str">
        <f t="shared" ca="1" si="31"/>
        <v>1+0.0914898441304311i</v>
      </c>
      <c r="L79" t="str">
        <f t="shared" ca="1" si="32"/>
        <v>1-0.0251683766967289i</v>
      </c>
      <c r="M79" t="str">
        <f t="shared" ca="1" si="33"/>
        <v>1+29.2767501217379i</v>
      </c>
      <c r="N79" t="str">
        <f t="shared" si="34"/>
        <v>1+0.0736808679592307i</v>
      </c>
      <c r="O79">
        <f t="shared" ca="1" si="35"/>
        <v>30.873410267617786</v>
      </c>
      <c r="P79" t="str">
        <f t="shared" ca="1" si="25"/>
        <v>0.0281530177522774-1.05542156582679i</v>
      </c>
      <c r="Q79">
        <f t="shared" ca="1" si="45"/>
        <v>0.47160835125619555</v>
      </c>
      <c r="R79">
        <f t="shared" ca="1" si="26"/>
        <v>-88.472016555826542</v>
      </c>
      <c r="T79" t="str">
        <f t="shared" si="36"/>
        <v>1+1.1696i</v>
      </c>
      <c r="U79" t="str">
        <f t="shared" si="37"/>
        <v>1+0.068i</v>
      </c>
      <c r="V79" t="str">
        <f t="shared" si="38"/>
        <v>-0.064124487004104i</v>
      </c>
      <c r="W79" t="str">
        <f t="shared" si="46"/>
        <v>0.0703144010930666-0.0689058662784325i</v>
      </c>
      <c r="X79">
        <f t="shared" si="47"/>
        <v>-20.135806165892987</v>
      </c>
      <c r="Y79">
        <f t="shared" si="48"/>
        <v>-44.420340527432238</v>
      </c>
      <c r="Z79">
        <f t="shared" si="49"/>
        <v>1082.2536130248884</v>
      </c>
      <c r="AA79">
        <f t="shared" ca="1" si="39"/>
        <v>-13.106079424565188</v>
      </c>
      <c r="AB79">
        <f t="shared" ca="1" si="40"/>
        <v>-124.60022155479606</v>
      </c>
    </row>
    <row r="80" spans="1:28" x14ac:dyDescent="0.2">
      <c r="A80">
        <v>6900</v>
      </c>
      <c r="B80" t="str">
        <f t="shared" si="41"/>
        <v>6900i</v>
      </c>
      <c r="C80" t="str">
        <f t="shared" ca="1" si="27"/>
        <v>1+0.0928352830147021i</v>
      </c>
      <c r="D80" t="str">
        <f t="shared" ca="1" si="28"/>
        <v>1+0.0487380869260458i</v>
      </c>
      <c r="E80" t="str">
        <f t="shared" ca="1" si="29"/>
        <v>1+31.5382645659763i</v>
      </c>
      <c r="F80">
        <f t="shared" ca="1" si="30"/>
        <v>69.486139019499433</v>
      </c>
      <c r="G80" t="str">
        <f t="shared" ca="1" si="42"/>
        <v>0.381078920766242-2.18118095848061i</v>
      </c>
      <c r="H80">
        <f t="shared" ca="1" si="43"/>
        <v>6.9044165441176988</v>
      </c>
      <c r="I80">
        <f t="shared" ca="1" si="44"/>
        <v>-80.089755087071282</v>
      </c>
      <c r="K80" t="str">
        <f t="shared" ca="1" si="31"/>
        <v>1+0.0928352830147021i</v>
      </c>
      <c r="L80" t="str">
        <f t="shared" ca="1" si="32"/>
        <v>1-0.0255384998834455i</v>
      </c>
      <c r="M80" t="str">
        <f t="shared" ca="1" si="33"/>
        <v>1+29.7072905647047i</v>
      </c>
      <c r="N80" t="str">
        <f t="shared" si="34"/>
        <v>1+0.0747644101351018i</v>
      </c>
      <c r="O80">
        <f t="shared" ca="1" si="35"/>
        <v>30.873410267617786</v>
      </c>
      <c r="P80" t="str">
        <f t="shared" ca="1" si="25"/>
        <v>0.0271146403342397-1.04021416702652i</v>
      </c>
      <c r="Q80">
        <f t="shared" ca="1" si="45"/>
        <v>0.34540512915144361</v>
      </c>
      <c r="R80">
        <f t="shared" ca="1" si="26"/>
        <v>-88.506843312843486</v>
      </c>
      <c r="T80" t="str">
        <f t="shared" si="36"/>
        <v>1+1.1868i</v>
      </c>
      <c r="U80" t="str">
        <f t="shared" si="37"/>
        <v>1+0.069i</v>
      </c>
      <c r="V80" t="str">
        <f t="shared" si="38"/>
        <v>-0.0631951466127401i</v>
      </c>
      <c r="W80" t="str">
        <f t="shared" si="46"/>
        <v>0.0703048136658578-0.0680461787556843i</v>
      </c>
      <c r="X80">
        <f t="shared" si="47"/>
        <v>-20.189497059780159</v>
      </c>
      <c r="Y80">
        <f t="shared" si="48"/>
        <v>-44.06470672424323</v>
      </c>
      <c r="Z80">
        <f t="shared" si="49"/>
        <v>1098.1691073340778</v>
      </c>
      <c r="AA80">
        <f t="shared" ca="1" si="39"/>
        <v>-13.285080515662461</v>
      </c>
      <c r="AB80">
        <f t="shared" ca="1" si="40"/>
        <v>-124.15446181131452</v>
      </c>
    </row>
    <row r="81" spans="1:28" x14ac:dyDescent="0.2">
      <c r="A81">
        <v>7000</v>
      </c>
      <c r="B81" t="str">
        <f t="shared" si="41"/>
        <v>7000i</v>
      </c>
      <c r="C81" t="str">
        <f t="shared" ca="1" si="27"/>
        <v>1+0.0941807218989731i</v>
      </c>
      <c r="D81" t="str">
        <f t="shared" ca="1" si="28"/>
        <v>1+0.0494444360119305i</v>
      </c>
      <c r="E81" t="str">
        <f t="shared" ca="1" si="29"/>
        <v>1+31.9953408640339i</v>
      </c>
      <c r="F81">
        <f t="shared" ca="1" si="30"/>
        <v>69.486139019499433</v>
      </c>
      <c r="G81" t="str">
        <f t="shared" ca="1" si="42"/>
        <v>0.3791099967653-2.14979588217395i</v>
      </c>
      <c r="H81">
        <f t="shared" ca="1" si="43"/>
        <v>6.7809450521109591</v>
      </c>
      <c r="I81">
        <f t="shared" ca="1" si="44"/>
        <v>-79.998889060415465</v>
      </c>
      <c r="K81" t="str">
        <f t="shared" ca="1" si="31"/>
        <v>1+0.0941807218989731i</v>
      </c>
      <c r="L81" t="str">
        <f t="shared" ca="1" si="32"/>
        <v>1-0.0259086230701621i</v>
      </c>
      <c r="M81" t="str">
        <f t="shared" ca="1" si="33"/>
        <v>1+30.1378310076714i</v>
      </c>
      <c r="N81" t="str">
        <f t="shared" si="34"/>
        <v>1+0.0758479523109728i</v>
      </c>
      <c r="O81">
        <f t="shared" ca="1" si="35"/>
        <v>30.873410267617786</v>
      </c>
      <c r="P81" t="str">
        <f t="shared" ca="1" si="25"/>
        <v>0.0261201528185151-1.02544056323428i</v>
      </c>
      <c r="Q81">
        <f t="shared" ca="1" si="45"/>
        <v>0.22102677163731102</v>
      </c>
      <c r="R81">
        <f t="shared" ca="1" si="26"/>
        <v>-88.540870117156402</v>
      </c>
      <c r="T81" t="str">
        <f t="shared" si="36"/>
        <v>1+1.204i</v>
      </c>
      <c r="U81" t="str">
        <f t="shared" si="37"/>
        <v>1+0.07i</v>
      </c>
      <c r="V81" t="str">
        <f t="shared" si="38"/>
        <v>-0.0622923588039867i</v>
      </c>
      <c r="W81" t="str">
        <f t="shared" si="46"/>
        <v>0.0702950889478764-0.0672130150303381i</v>
      </c>
      <c r="X81">
        <f t="shared" si="47"/>
        <v>-20.241552832684594</v>
      </c>
      <c r="Y81">
        <f t="shared" si="48"/>
        <v>-43.716001021868557</v>
      </c>
      <c r="Z81">
        <f t="shared" si="49"/>
        <v>1114.0846016432674</v>
      </c>
      <c r="AA81">
        <f t="shared" ca="1" si="39"/>
        <v>-13.460607780573635</v>
      </c>
      <c r="AB81">
        <f t="shared" ca="1" si="40"/>
        <v>-123.71489008228403</v>
      </c>
    </row>
    <row r="82" spans="1:28" x14ac:dyDescent="0.2">
      <c r="A82">
        <v>7100</v>
      </c>
      <c r="B82" t="str">
        <f t="shared" si="41"/>
        <v>7100i</v>
      </c>
      <c r="C82" t="str">
        <f t="shared" ca="1" si="27"/>
        <v>1+0.0955261607832442i</v>
      </c>
      <c r="D82" t="str">
        <f t="shared" ca="1" si="28"/>
        <v>1+0.0501507850978152i</v>
      </c>
      <c r="E82" t="str">
        <f t="shared" ca="1" si="29"/>
        <v>1+32.4524171620915i</v>
      </c>
      <c r="F82">
        <f t="shared" ca="1" si="30"/>
        <v>69.486139019499433</v>
      </c>
      <c r="G82" t="str">
        <f t="shared" ca="1" si="42"/>
        <v>0.37722357422125-2.1192882805758i</v>
      </c>
      <c r="H82">
        <f t="shared" ca="1" si="43"/>
        <v>6.6592607964008401</v>
      </c>
      <c r="I82">
        <f t="shared" ca="1" si="44"/>
        <v>-79.907315398636058</v>
      </c>
      <c r="K82" t="str">
        <f t="shared" ca="1" si="31"/>
        <v>1+0.0955261607832442i</v>
      </c>
      <c r="L82" t="str">
        <f t="shared" ca="1" si="32"/>
        <v>1-0.0262787462568787i</v>
      </c>
      <c r="M82" t="str">
        <f t="shared" ca="1" si="33"/>
        <v>1+30.5683714506381i</v>
      </c>
      <c r="N82" t="str">
        <f t="shared" si="34"/>
        <v>1+0.0769314944868438i</v>
      </c>
      <c r="O82">
        <f t="shared" ca="1" si="35"/>
        <v>30.873410267617786</v>
      </c>
      <c r="P82" t="str">
        <f t="shared" ref="P82:P145" ca="1" si="50">IMDIV(IMPRODUCT(O82,K82,L82,),IMPRODUCT(M82,N82,))</f>
        <v>0.0251671013248515-1.0110825046267i</v>
      </c>
      <c r="Q82">
        <f t="shared" ca="1" si="45"/>
        <v>9.8421854453115576E-2</v>
      </c>
      <c r="R82">
        <f t="shared" ref="R82:R145" ca="1" si="51">IMARGUMENT(P82)*180/PI()</f>
        <v>-88.574131200533841</v>
      </c>
      <c r="T82" t="str">
        <f t="shared" si="36"/>
        <v>1+1.2212i</v>
      </c>
      <c r="U82" t="str">
        <f t="shared" si="37"/>
        <v>1+0.071i</v>
      </c>
      <c r="V82" t="str">
        <f t="shared" si="38"/>
        <v>-0.0614150016377334i</v>
      </c>
      <c r="W82" t="str">
        <f t="shared" si="46"/>
        <v>0.070285227054141-0.0664052527585774i</v>
      </c>
      <c r="X82">
        <f t="shared" si="47"/>
        <v>-20.292036832519436</v>
      </c>
      <c r="Y82">
        <f t="shared" si="48"/>
        <v>-43.374089579522959</v>
      </c>
      <c r="Z82">
        <f t="shared" si="49"/>
        <v>1130.0000959524568</v>
      </c>
      <c r="AA82">
        <f t="shared" ca="1" si="39"/>
        <v>-13.632776036118596</v>
      </c>
      <c r="AB82">
        <f t="shared" ca="1" si="40"/>
        <v>-123.28140497815902</v>
      </c>
    </row>
    <row r="83" spans="1:28" x14ac:dyDescent="0.2">
      <c r="A83">
        <v>7200</v>
      </c>
      <c r="B83" t="str">
        <f t="shared" si="41"/>
        <v>7200i</v>
      </c>
      <c r="C83" t="str">
        <f t="shared" ca="1" si="27"/>
        <v>1+0.0968715996675152i</v>
      </c>
      <c r="D83" t="str">
        <f t="shared" ca="1" si="28"/>
        <v>1+0.0508571341836999i</v>
      </c>
      <c r="E83" t="str">
        <f t="shared" ca="1" si="29"/>
        <v>1+32.9094934601492i</v>
      </c>
      <c r="F83">
        <f t="shared" ca="1" si="30"/>
        <v>69.486139019499433</v>
      </c>
      <c r="G83" t="str">
        <f t="shared" ca="1" si="42"/>
        <v>0.375415108799732-2.08962173032577i</v>
      </c>
      <c r="H83">
        <f t="shared" ca="1" si="43"/>
        <v>6.5393144587963636</v>
      </c>
      <c r="I83">
        <f t="shared" ca="1" si="44"/>
        <v>-79.815064769449449</v>
      </c>
      <c r="K83" t="str">
        <f t="shared" ca="1" si="31"/>
        <v>1+0.0968715996675152i</v>
      </c>
      <c r="L83" t="str">
        <f t="shared" ca="1" si="32"/>
        <v>1-0.0266488694435953i</v>
      </c>
      <c r="M83" t="str">
        <f t="shared" ca="1" si="33"/>
        <v>1+30.9989118936049i</v>
      </c>
      <c r="N83" t="str">
        <f t="shared" si="34"/>
        <v>1+0.0780150366627149i</v>
      </c>
      <c r="O83">
        <f t="shared" ca="1" si="35"/>
        <v>30.873410267617786</v>
      </c>
      <c r="P83" t="str">
        <f t="shared" ca="1" si="50"/>
        <v>0.0242532008344499-0.997122749802331i</v>
      </c>
      <c r="Q83">
        <f t="shared" ca="1" si="45"/>
        <v>-2.2458898545291813E-2</v>
      </c>
      <c r="R83">
        <f t="shared" ca="1" si="51"/>
        <v>-88.606658902653621</v>
      </c>
      <c r="T83" t="str">
        <f t="shared" si="36"/>
        <v>1+1.2384i</v>
      </c>
      <c r="U83" t="str">
        <f t="shared" si="37"/>
        <v>1+0.072i</v>
      </c>
      <c r="V83" t="str">
        <f t="shared" si="38"/>
        <v>-0.060562015503876i</v>
      </c>
      <c r="W83" t="str">
        <f t="shared" si="46"/>
        <v>0.0702752281012441-0.0656218319271656i</v>
      </c>
      <c r="X83">
        <f t="shared" si="47"/>
        <v>-20.341009526035219</v>
      </c>
      <c r="Y83">
        <f t="shared" si="48"/>
        <v>-43.038840364153153</v>
      </c>
      <c r="Z83">
        <f t="shared" si="49"/>
        <v>1145.9155902616465</v>
      </c>
      <c r="AA83">
        <f t="shared" ca="1" si="39"/>
        <v>-13.801695067238855</v>
      </c>
      <c r="AB83">
        <f t="shared" ca="1" si="40"/>
        <v>-122.85390513360261</v>
      </c>
    </row>
    <row r="84" spans="1:28" x14ac:dyDescent="0.2">
      <c r="A84">
        <v>7300</v>
      </c>
      <c r="B84" t="str">
        <f t="shared" si="41"/>
        <v>7300i</v>
      </c>
      <c r="C84" t="str">
        <f t="shared" ca="1" si="27"/>
        <v>1+0.0982170385517863i</v>
      </c>
      <c r="D84" t="str">
        <f t="shared" ca="1" si="28"/>
        <v>1+0.0515634832695847i</v>
      </c>
      <c r="E84" t="str">
        <f t="shared" ca="1" si="29"/>
        <v>1+33.3665697582068i</v>
      </c>
      <c r="F84">
        <f t="shared" ca="1" si="30"/>
        <v>69.486139019499433</v>
      </c>
      <c r="G84" t="str">
        <f t="shared" ca="1" si="42"/>
        <v>0.373680364708252-2.06076179461705i</v>
      </c>
      <c r="H84">
        <f t="shared" ca="1" si="43"/>
        <v>6.4210587537016073</v>
      </c>
      <c r="I84">
        <f t="shared" ca="1" si="44"/>
        <v>-79.722166178946352</v>
      </c>
      <c r="K84" t="str">
        <f t="shared" ca="1" si="31"/>
        <v>1+0.0982170385517863i</v>
      </c>
      <c r="L84" t="str">
        <f t="shared" ca="1" si="32"/>
        <v>1-0.0270189926303119i</v>
      </c>
      <c r="M84" t="str">
        <f t="shared" ca="1" si="33"/>
        <v>1+31.4294523365716i</v>
      </c>
      <c r="N84" t="str">
        <f t="shared" si="34"/>
        <v>1+0.0790985788385859i</v>
      </c>
      <c r="O84">
        <f t="shared" ca="1" si="35"/>
        <v>30.873410267617786</v>
      </c>
      <c r="P84" t="str">
        <f t="shared" ca="1" si="50"/>
        <v>0.0233763214404657-0.983544997149227i</v>
      </c>
      <c r="Q84">
        <f t="shared" ca="1" si="45"/>
        <v>-0.14166273328780482</v>
      </c>
      <c r="R84">
        <f t="shared" ca="1" si="51"/>
        <v>-88.638483800404813</v>
      </c>
      <c r="T84" t="str">
        <f t="shared" si="36"/>
        <v>1+1.2556i</v>
      </c>
      <c r="U84" t="str">
        <f t="shared" si="37"/>
        <v>1+0.073i</v>
      </c>
      <c r="V84" t="str">
        <f t="shared" si="38"/>
        <v>-0.0597323988531379i</v>
      </c>
      <c r="W84" t="str">
        <f t="shared" si="46"/>
        <v>0.070265092207348-0.0648617505842743i</v>
      </c>
      <c r="X84">
        <f t="shared" si="47"/>
        <v>-20.388528649855093</v>
      </c>
      <c r="Y84">
        <f t="shared" si="48"/>
        <v>-42.710123215699738</v>
      </c>
      <c r="Z84">
        <f t="shared" si="49"/>
        <v>1161.8310845708361</v>
      </c>
      <c r="AA84">
        <f t="shared" ca="1" si="39"/>
        <v>-13.967469896153485</v>
      </c>
      <c r="AB84">
        <f t="shared" ca="1" si="40"/>
        <v>-122.43228939464609</v>
      </c>
    </row>
    <row r="85" spans="1:28" x14ac:dyDescent="0.2">
      <c r="A85">
        <v>7400</v>
      </c>
      <c r="B85" t="str">
        <f t="shared" si="41"/>
        <v>7400i</v>
      </c>
      <c r="C85" t="str">
        <f t="shared" ca="1" si="27"/>
        <v>1+0.0995624774360573i</v>
      </c>
      <c r="D85" t="str">
        <f t="shared" ca="1" si="28"/>
        <v>1+0.0522698323554694i</v>
      </c>
      <c r="E85" t="str">
        <f t="shared" ca="1" si="29"/>
        <v>1+33.8236460562644i</v>
      </c>
      <c r="F85">
        <f t="shared" ca="1" si="30"/>
        <v>69.486139019499433</v>
      </c>
      <c r="G85" t="str">
        <f t="shared" ca="1" si="42"/>
        <v>0.372015389902001-2.03267588970277i</v>
      </c>
      <c r="H85">
        <f t="shared" ca="1" si="43"/>
        <v>6.3044483179860649</v>
      </c>
      <c r="I85">
        <f t="shared" ca="1" si="44"/>
        <v>-79.628647083626078</v>
      </c>
      <c r="K85" t="str">
        <f t="shared" ca="1" si="31"/>
        <v>1+0.0995624774360573i</v>
      </c>
      <c r="L85" t="str">
        <f t="shared" ca="1" si="32"/>
        <v>1-0.0273891158170285i</v>
      </c>
      <c r="M85" t="str">
        <f t="shared" ca="1" si="33"/>
        <v>1+31.8599927795383i</v>
      </c>
      <c r="N85" t="str">
        <f t="shared" si="34"/>
        <v>1+0.080182121014457i</v>
      </c>
      <c r="O85">
        <f t="shared" ca="1" si="35"/>
        <v>30.873410267617786</v>
      </c>
      <c r="P85" t="str">
        <f t="shared" ca="1" si="50"/>
        <v>0.0225344758867209-0.970333821736732i</v>
      </c>
      <c r="Q85">
        <f t="shared" ca="1" si="45"/>
        <v>-0.25923497542241225</v>
      </c>
      <c r="R85">
        <f t="shared" ca="1" si="51"/>
        <v>-88.669634826730785</v>
      </c>
      <c r="T85" t="str">
        <f t="shared" si="36"/>
        <v>1+1.2728i</v>
      </c>
      <c r="U85" t="str">
        <f t="shared" si="37"/>
        <v>1+0.074i</v>
      </c>
      <c r="V85" t="str">
        <f t="shared" si="38"/>
        <v>-0.0589252042740415i</v>
      </c>
      <c r="W85" t="str">
        <f t="shared" si="46"/>
        <v>0.0702548194921817-0.0641240609164629i</v>
      </c>
      <c r="X85">
        <f t="shared" si="47"/>
        <v>-20.434649352378838</v>
      </c>
      <c r="Y85">
        <f t="shared" si="48"/>
        <v>-42.387809902818574</v>
      </c>
      <c r="Z85">
        <f t="shared" si="49"/>
        <v>1177.7465788800255</v>
      </c>
      <c r="AA85">
        <f t="shared" ca="1" si="39"/>
        <v>-14.130201034392773</v>
      </c>
      <c r="AB85">
        <f t="shared" ca="1" si="40"/>
        <v>-122.01645698644465</v>
      </c>
    </row>
    <row r="86" spans="1:28" x14ac:dyDescent="0.2">
      <c r="A86">
        <v>7500</v>
      </c>
      <c r="B86" t="str">
        <f t="shared" si="41"/>
        <v>7500i</v>
      </c>
      <c r="C86" t="str">
        <f t="shared" ca="1" si="27"/>
        <v>1+0.100907916320328i</v>
      </c>
      <c r="D86" t="str">
        <f t="shared" ca="1" si="28"/>
        <v>1+0.0529761814413541i</v>
      </c>
      <c r="E86" t="str">
        <f t="shared" ca="1" si="29"/>
        <v>1+34.280722354322i</v>
      </c>
      <c r="F86">
        <f t="shared" ca="1" si="30"/>
        <v>69.486139019499433</v>
      </c>
      <c r="G86" t="str">
        <f t="shared" ca="1" si="42"/>
        <v>0.370416493582805-2.00533316201512i</v>
      </c>
      <c r="H86">
        <f t="shared" ca="1" si="43"/>
        <v>6.1894396082078416</v>
      </c>
      <c r="I86">
        <f t="shared" ca="1" si="44"/>
        <v>-79.534533493486393</v>
      </c>
      <c r="K86" t="str">
        <f t="shared" ca="1" si="31"/>
        <v>1+0.100907916320328i</v>
      </c>
      <c r="L86" t="str">
        <f t="shared" ca="1" si="32"/>
        <v>1-0.0277592390037451i</v>
      </c>
      <c r="M86" t="str">
        <f t="shared" ca="1" si="33"/>
        <v>1+32.2905332225051i</v>
      </c>
      <c r="N86" t="str">
        <f t="shared" si="34"/>
        <v>1+0.081265663190328i</v>
      </c>
      <c r="O86">
        <f t="shared" ca="1" si="35"/>
        <v>30.873410267617786</v>
      </c>
      <c r="P86" t="str">
        <f t="shared" ca="1" si="50"/>
        <v>0.0217258082585707-0.957474617220352i</v>
      </c>
      <c r="Q86">
        <f t="shared" ca="1" si="45"/>
        <v>-0.37521913291271336</v>
      </c>
      <c r="R86">
        <f t="shared" ca="1" si="51"/>
        <v>-88.700139379986567</v>
      </c>
      <c r="T86" t="str">
        <f t="shared" si="36"/>
        <v>1+1.29i</v>
      </c>
      <c r="U86" t="str">
        <f t="shared" si="37"/>
        <v>1+0.075i</v>
      </c>
      <c r="V86" t="str">
        <f t="shared" si="38"/>
        <v>-0.0581395348837209i</v>
      </c>
      <c r="W86" t="str">
        <f t="shared" si="46"/>
        <v>0.0702444100770376-0.0634078656394987i</v>
      </c>
      <c r="X86">
        <f t="shared" si="47"/>
        <v>-20.479424327204896</v>
      </c>
      <c r="Y86">
        <f t="shared" si="48"/>
        <v>-42.071774169789776</v>
      </c>
      <c r="Z86">
        <f t="shared" si="49"/>
        <v>1193.6620731892151</v>
      </c>
      <c r="AA86">
        <f t="shared" ca="1" si="39"/>
        <v>-14.289984718997054</v>
      </c>
      <c r="AB86">
        <f t="shared" ca="1" si="40"/>
        <v>-121.60630766327617</v>
      </c>
    </row>
    <row r="87" spans="1:28" x14ac:dyDescent="0.2">
      <c r="A87">
        <v>7600</v>
      </c>
      <c r="B87" t="str">
        <f t="shared" si="41"/>
        <v>7600i</v>
      </c>
      <c r="C87" t="str">
        <f t="shared" ca="1" si="27"/>
        <v>1+0.102253355204599i</v>
      </c>
      <c r="D87" t="str">
        <f t="shared" ca="1" si="28"/>
        <v>1+0.0536825305272388i</v>
      </c>
      <c r="E87" t="str">
        <f t="shared" ca="1" si="29"/>
        <v>1+34.7377986523797i</v>
      </c>
      <c r="F87">
        <f t="shared" ca="1" si="30"/>
        <v>69.486139019499433</v>
      </c>
      <c r="G87" t="str">
        <f t="shared" ca="1" si="42"/>
        <v>0.368880225752009-1.97870437492635i</v>
      </c>
      <c r="H87">
        <f t="shared" ca="1" si="43"/>
        <v>6.0759908046077111</v>
      </c>
      <c r="I87">
        <f t="shared" ca="1" si="44"/>
        <v>-79.439850066990971</v>
      </c>
      <c r="K87" t="str">
        <f t="shared" ca="1" si="31"/>
        <v>1+0.102253355204599i</v>
      </c>
      <c r="L87" t="str">
        <f t="shared" ca="1" si="32"/>
        <v>1-0.0281293621904617i</v>
      </c>
      <c r="M87" t="str">
        <f t="shared" ca="1" si="33"/>
        <v>1+32.7210736654718i</v>
      </c>
      <c r="N87" t="str">
        <f t="shared" si="34"/>
        <v>1+0.082349205366199i</v>
      </c>
      <c r="O87">
        <f t="shared" ca="1" si="35"/>
        <v>30.873410267617786</v>
      </c>
      <c r="P87" t="str">
        <f t="shared" ca="1" si="50"/>
        <v>0.020948583705802-0.944953542301501i</v>
      </c>
      <c r="Q87">
        <f t="shared" ca="1" si="45"/>
        <v>-0.48965699188083905</v>
      </c>
      <c r="R87">
        <f t="shared" ca="1" si="51"/>
        <v>-88.730023424682003</v>
      </c>
      <c r="T87" t="str">
        <f t="shared" si="36"/>
        <v>1+1.3072i</v>
      </c>
      <c r="U87" t="str">
        <f t="shared" si="37"/>
        <v>1+0.076i</v>
      </c>
      <c r="V87" t="str">
        <f t="shared" si="38"/>
        <v>-0.057374541003672i</v>
      </c>
      <c r="W87" t="str">
        <f t="shared" si="46"/>
        <v>0.0702338640847673-0.0627123146741143i</v>
      </c>
      <c r="X87">
        <f t="shared" si="47"/>
        <v>-20.522903938664136</v>
      </c>
      <c r="Y87">
        <f t="shared" si="48"/>
        <v>-41.761891775305536</v>
      </c>
      <c r="Z87">
        <f t="shared" si="49"/>
        <v>1209.5775674984045</v>
      </c>
      <c r="AA87">
        <f t="shared" ca="1" si="39"/>
        <v>-14.446913134056425</v>
      </c>
      <c r="AB87">
        <f t="shared" ca="1" si="40"/>
        <v>-121.20174184229651</v>
      </c>
    </row>
    <row r="88" spans="1:28" x14ac:dyDescent="0.2">
      <c r="A88">
        <v>7700</v>
      </c>
      <c r="B88" t="str">
        <f t="shared" si="41"/>
        <v>7700i</v>
      </c>
      <c r="C88" t="str">
        <f t="shared" ca="1" si="27"/>
        <v>1+0.10359879408887i</v>
      </c>
      <c r="D88" t="str">
        <f t="shared" ca="1" si="28"/>
        <v>1+0.0543888796131235i</v>
      </c>
      <c r="E88" t="str">
        <f t="shared" ca="1" si="29"/>
        <v>1+35.1948749504373i</v>
      </c>
      <c r="F88">
        <f t="shared" ca="1" si="30"/>
        <v>69.486139019499433</v>
      </c>
      <c r="G88" t="str">
        <f t="shared" ca="1" si="42"/>
        <v>0.367403358605899-1.95276180428129i</v>
      </c>
      <c r="H88">
        <f t="shared" ca="1" si="43"/>
        <v>5.9640617213468943</v>
      </c>
      <c r="I88">
        <f t="shared" ca="1" si="44"/>
        <v>-79.344620198650418</v>
      </c>
      <c r="K88" t="str">
        <f t="shared" ca="1" si="31"/>
        <v>1+0.10359879408887i</v>
      </c>
      <c r="L88" t="str">
        <f t="shared" ca="1" si="32"/>
        <v>1-0.0284994853771783i</v>
      </c>
      <c r="M88" t="str">
        <f t="shared" ca="1" si="33"/>
        <v>1+33.1516141084385i</v>
      </c>
      <c r="N88" t="str">
        <f t="shared" si="34"/>
        <v>1+0.0834327475420701i</v>
      </c>
      <c r="O88">
        <f t="shared" ca="1" si="35"/>
        <v>30.873410267617786</v>
      </c>
      <c r="P88" t="str">
        <f t="shared" ca="1" si="50"/>
        <v>0.0202011790913386-0.93275747133129i</v>
      </c>
      <c r="Q88">
        <f t="shared" ca="1" si="45"/>
        <v>-0.6025887062215799</v>
      </c>
      <c r="R88">
        <f t="shared" ca="1" si="51"/>
        <v>-88.759311584392393</v>
      </c>
      <c r="T88" t="str">
        <f t="shared" si="36"/>
        <v>1+1.3244i</v>
      </c>
      <c r="U88" t="str">
        <f t="shared" si="37"/>
        <v>1+0.077i</v>
      </c>
      <c r="V88" t="str">
        <f t="shared" si="38"/>
        <v>-0.0566294170945334i</v>
      </c>
      <c r="W88" t="str">
        <f t="shared" si="46"/>
        <v>0.0702231816397787-0.0620366020807964i</v>
      </c>
      <c r="X88">
        <f t="shared" si="47"/>
        <v>-20.565136340009062</v>
      </c>
      <c r="Y88">
        <f t="shared" si="48"/>
        <v>-41.458040523784398</v>
      </c>
      <c r="Z88">
        <f t="shared" si="49"/>
        <v>1225.4930618075941</v>
      </c>
      <c r="AA88">
        <f t="shared" ca="1" si="39"/>
        <v>-14.601074618662167</v>
      </c>
      <c r="AB88">
        <f t="shared" ca="1" si="40"/>
        <v>-120.80266072243481</v>
      </c>
    </row>
    <row r="89" spans="1:28" x14ac:dyDescent="0.2">
      <c r="A89">
        <v>7800</v>
      </c>
      <c r="B89" t="str">
        <f t="shared" si="41"/>
        <v>7800i</v>
      </c>
      <c r="C89" t="str">
        <f t="shared" ca="1" si="27"/>
        <v>1+0.104944232973141i</v>
      </c>
      <c r="D89" t="str">
        <f t="shared" ca="1" si="28"/>
        <v>1+0.0550952286990083i</v>
      </c>
      <c r="E89" t="str">
        <f t="shared" ca="1" si="29"/>
        <v>1+35.6519512484949i</v>
      </c>
      <c r="F89">
        <f t="shared" ca="1" si="30"/>
        <v>69.486139019499433</v>
      </c>
      <c r="G89" t="str">
        <f t="shared" ca="1" si="42"/>
        <v>0.365982869586333-1.9274791419194i</v>
      </c>
      <c r="H89">
        <f t="shared" ca="1" si="43"/>
        <v>5.8536137225076459</v>
      </c>
      <c r="I89">
        <f t="shared" ca="1" si="44"/>
        <v>-79.248866099878811</v>
      </c>
      <c r="K89" t="str">
        <f t="shared" ca="1" si="31"/>
        <v>1+0.104944232973141i</v>
      </c>
      <c r="L89" t="str">
        <f t="shared" ca="1" si="32"/>
        <v>1-0.0288696085638949i</v>
      </c>
      <c r="M89" t="str">
        <f t="shared" ca="1" si="33"/>
        <v>1+33.5821545514053i</v>
      </c>
      <c r="N89" t="str">
        <f t="shared" si="34"/>
        <v>1+0.0845162897179411i</v>
      </c>
      <c r="O89">
        <f t="shared" ca="1" si="35"/>
        <v>30.873410267617786</v>
      </c>
      <c r="P89" t="str">
        <f t="shared" ca="1" si="50"/>
        <v>0.0194820744716973-0.920873948689275i</v>
      </c>
      <c r="Q89">
        <f t="shared" ca="1" si="45"/>
        <v>-0.71405288146670576</v>
      </c>
      <c r="R89">
        <f t="shared" ca="1" si="51"/>
        <v>-88.788027227536645</v>
      </c>
      <c r="T89" t="str">
        <f t="shared" si="36"/>
        <v>1+1.3416i</v>
      </c>
      <c r="U89" t="str">
        <f t="shared" si="37"/>
        <v>1+0.078i</v>
      </c>
      <c r="V89" t="str">
        <f t="shared" si="38"/>
        <v>-0.0559033989266547i</v>
      </c>
      <c r="W89" t="str">
        <f t="shared" si="46"/>
        <v>0.0702123628680317-0.0613799632303612i</v>
      </c>
      <c r="X89">
        <f t="shared" si="47"/>
        <v>-20.606167584757774</v>
      </c>
      <c r="Y89">
        <f t="shared" si="48"/>
        <v>-41.160100289825493</v>
      </c>
      <c r="Z89">
        <f t="shared" si="49"/>
        <v>1241.4085561167838</v>
      </c>
      <c r="AA89">
        <f t="shared" ca="1" si="39"/>
        <v>-14.752553862250128</v>
      </c>
      <c r="AB89">
        <f t="shared" ca="1" si="40"/>
        <v>-120.4089663897043</v>
      </c>
    </row>
    <row r="90" spans="1:28" x14ac:dyDescent="0.2">
      <c r="A90">
        <v>7900</v>
      </c>
      <c r="B90" t="str">
        <f t="shared" si="41"/>
        <v>7900i</v>
      </c>
      <c r="C90" t="str">
        <f t="shared" ca="1" si="27"/>
        <v>1+0.106289671857413i</v>
      </c>
      <c r="D90" t="str">
        <f t="shared" ca="1" si="28"/>
        <v>1+0.055801577784893i</v>
      </c>
      <c r="E90" t="str">
        <f t="shared" ca="1" si="29"/>
        <v>1+36.1090275465525i</v>
      </c>
      <c r="F90">
        <f t="shared" ca="1" si="30"/>
        <v>69.486139019499433</v>
      </c>
      <c r="G90" t="str">
        <f t="shared" ca="1" si="42"/>
        <v>0.364615925920434-1.902831406483i</v>
      </c>
      <c r="H90">
        <f t="shared" ca="1" si="43"/>
        <v>5.7446096434186398</v>
      </c>
      <c r="I90">
        <f t="shared" ca="1" si="44"/>
        <v>-79.152608873720837</v>
      </c>
      <c r="K90" t="str">
        <f t="shared" ca="1" si="31"/>
        <v>1+0.106289671857413i</v>
      </c>
      <c r="L90" t="str">
        <f t="shared" ca="1" si="32"/>
        <v>1-0.0292397317506116i</v>
      </c>
      <c r="M90" t="str">
        <f t="shared" ca="1" si="33"/>
        <v>1+34.012694994372i</v>
      </c>
      <c r="N90" t="str">
        <f t="shared" si="34"/>
        <v>1+0.0855998318938122i</v>
      </c>
      <c r="O90">
        <f t="shared" ca="1" si="35"/>
        <v>30.873410267617786</v>
      </c>
      <c r="P90" t="str">
        <f t="shared" ca="1" si="50"/>
        <v>0.0187898453257135-0.90929114660509i</v>
      </c>
      <c r="Q90">
        <f t="shared" ca="1" si="45"/>
        <v>-0.82408665333647191</v>
      </c>
      <c r="R90">
        <f t="shared" ca="1" si="51"/>
        <v>-88.81619254665452</v>
      </c>
      <c r="T90" t="str">
        <f t="shared" si="36"/>
        <v>1+1.3588i</v>
      </c>
      <c r="U90" t="str">
        <f t="shared" si="37"/>
        <v>1+0.079i</v>
      </c>
      <c r="V90" t="str">
        <f t="shared" si="38"/>
        <v>-0.0551957609655579i</v>
      </c>
      <c r="W90" t="str">
        <f t="shared" si="46"/>
        <v>0.0702014078970356-0.0607416721894237i</v>
      </c>
      <c r="X90">
        <f t="shared" si="47"/>
        <v>-20.646041731651096</v>
      </c>
      <c r="Y90">
        <f t="shared" si="48"/>
        <v>-40.867953036376122</v>
      </c>
      <c r="Z90">
        <f t="shared" si="49"/>
        <v>1257.3240504259732</v>
      </c>
      <c r="AA90">
        <f t="shared" ca="1" si="39"/>
        <v>-14.901432088232456</v>
      </c>
      <c r="AB90">
        <f t="shared" ca="1" si="40"/>
        <v>-120.02056191009696</v>
      </c>
    </row>
    <row r="91" spans="1:28" x14ac:dyDescent="0.2">
      <c r="A91">
        <v>8000</v>
      </c>
      <c r="B91" t="str">
        <f t="shared" si="41"/>
        <v>8000i</v>
      </c>
      <c r="C91" t="str">
        <f t="shared" ca="1" si="27"/>
        <v>1+0.107635110741684i</v>
      </c>
      <c r="D91" t="str">
        <f t="shared" ca="1" si="28"/>
        <v>1+0.0565079268707777i</v>
      </c>
      <c r="E91" t="str">
        <f t="shared" ca="1" si="29"/>
        <v>1+36.5661038446102i</v>
      </c>
      <c r="F91">
        <f t="shared" ca="1" si="30"/>
        <v>69.486139019499433</v>
      </c>
      <c r="G91" t="str">
        <f t="shared" ca="1" si="42"/>
        <v>0.363299870501755-1.87879486087821i</v>
      </c>
      <c r="H91">
        <f t="shared" ca="1" si="43"/>
        <v>5.6370137169055674</v>
      </c>
      <c r="I91">
        <f t="shared" ca="1" si="44"/>
        <v>-79.055868583983838</v>
      </c>
      <c r="K91" t="str">
        <f t="shared" ca="1" si="31"/>
        <v>1+0.107635110741684i</v>
      </c>
      <c r="L91" t="str">
        <f t="shared" ca="1" si="32"/>
        <v>1-0.0296098549373282i</v>
      </c>
      <c r="M91" t="str">
        <f t="shared" ca="1" si="33"/>
        <v>1+34.4432354373387i</v>
      </c>
      <c r="N91" t="str">
        <f t="shared" si="34"/>
        <v>1+0.0866833740696832i</v>
      </c>
      <c r="O91">
        <f t="shared" ca="1" si="35"/>
        <v>30.873410267617786</v>
      </c>
      <c r="P91" t="str">
        <f t="shared" ca="1" si="50"/>
        <v>0.0181231554573891-0.897997826123905i</v>
      </c>
      <c r="Q91">
        <f t="shared" ca="1" si="45"/>
        <v>-0.93272576137648266</v>
      </c>
      <c r="R91">
        <f t="shared" ca="1" si="51"/>
        <v>-88.84382863175</v>
      </c>
      <c r="T91" t="str">
        <f t="shared" si="36"/>
        <v>1+1.376i</v>
      </c>
      <c r="U91" t="str">
        <f t="shared" si="37"/>
        <v>1+0.08i</v>
      </c>
      <c r="V91" t="str">
        <f t="shared" si="38"/>
        <v>-0.0545058139534884i</v>
      </c>
      <c r="W91" t="str">
        <f t="shared" si="46"/>
        <v>0.0701903168558435-0.0601210393019559i</v>
      </c>
      <c r="X91">
        <f t="shared" si="47"/>
        <v>-20.68480094364579</v>
      </c>
      <c r="Y91">
        <f t="shared" si="48"/>
        <v>-40.581482827151959</v>
      </c>
      <c r="Z91">
        <f t="shared" si="49"/>
        <v>1273.2395447351628</v>
      </c>
      <c r="AA91">
        <f t="shared" ca="1" si="39"/>
        <v>-15.047787226740223</v>
      </c>
      <c r="AB91">
        <f t="shared" ca="1" si="40"/>
        <v>-119.6373514111358</v>
      </c>
    </row>
    <row r="92" spans="1:28" x14ac:dyDescent="0.2">
      <c r="A92">
        <v>8100</v>
      </c>
      <c r="B92" t="str">
        <f t="shared" si="41"/>
        <v>8100i</v>
      </c>
      <c r="C92" t="str">
        <f t="shared" ca="1" si="27"/>
        <v>1+0.108980549625955i</v>
      </c>
      <c r="D92" t="str">
        <f t="shared" ca="1" si="28"/>
        <v>1+0.0572142759566624i</v>
      </c>
      <c r="E92" t="str">
        <f t="shared" ca="1" si="29"/>
        <v>1+37.0231801426678i</v>
      </c>
      <c r="F92">
        <f t="shared" ca="1" si="30"/>
        <v>69.486139019499433</v>
      </c>
      <c r="G92" t="str">
        <f t="shared" ca="1" si="42"/>
        <v>0.362032208981565-1.85534693581724i</v>
      </c>
      <c r="H92">
        <f t="shared" ca="1" si="43"/>
        <v>5.5307915041019529</v>
      </c>
      <c r="I92">
        <f t="shared" ca="1" si="44"/>
        <v>-78.958664319256968</v>
      </c>
      <c r="K92" t="str">
        <f t="shared" ca="1" si="31"/>
        <v>1+0.108980549625955i</v>
      </c>
      <c r="L92" t="str">
        <f t="shared" ca="1" si="32"/>
        <v>1-0.0299799781240448i</v>
      </c>
      <c r="M92" t="str">
        <f t="shared" ca="1" si="33"/>
        <v>1+34.8737758803055i</v>
      </c>
      <c r="N92" t="str">
        <f t="shared" si="34"/>
        <v>1+0.0877669162455542i</v>
      </c>
      <c r="O92">
        <f t="shared" ca="1" si="35"/>
        <v>30.873410267617786</v>
      </c>
      <c r="P92" t="str">
        <f t="shared" ca="1" si="50"/>
        <v>0.0174807505068717-0.886983300945872i</v>
      </c>
      <c r="Q92">
        <f t="shared" ca="1" si="45"/>
        <v>-1.0400046180443532</v>
      </c>
      <c r="R92">
        <f t="shared" ca="1" si="51"/>
        <v>-88.870955538212058</v>
      </c>
      <c r="T92" t="str">
        <f t="shared" si="36"/>
        <v>1+1.3932i</v>
      </c>
      <c r="U92" t="str">
        <f t="shared" si="37"/>
        <v>1+0.081i</v>
      </c>
      <c r="V92" t="str">
        <f t="shared" si="38"/>
        <v>-0.053832902670112i</v>
      </c>
      <c r="W92" t="str">
        <f t="shared" si="46"/>
        <v>0.0701790898750507-0.0595174089499911i</v>
      </c>
      <c r="X92">
        <f t="shared" si="47"/>
        <v>-20.722485581332393</v>
      </c>
      <c r="Y92">
        <f t="shared" si="48"/>
        <v>-40.300575833813312</v>
      </c>
      <c r="Z92">
        <f t="shared" si="49"/>
        <v>1289.1550390443522</v>
      </c>
      <c r="AA92">
        <f t="shared" ca="1" si="39"/>
        <v>-15.191694077230441</v>
      </c>
      <c r="AB92">
        <f t="shared" ca="1" si="40"/>
        <v>-119.25924015307028</v>
      </c>
    </row>
    <row r="93" spans="1:28" x14ac:dyDescent="0.2">
      <c r="A93">
        <v>8200</v>
      </c>
      <c r="B93" t="str">
        <f t="shared" si="41"/>
        <v>8200i</v>
      </c>
      <c r="C93" t="str">
        <f t="shared" ca="1" si="27"/>
        <v>1+0.110325988510226i</v>
      </c>
      <c r="D93" t="str">
        <f t="shared" ca="1" si="28"/>
        <v>1+0.0579206250425471i</v>
      </c>
      <c r="E93" t="str">
        <f t="shared" ca="1" si="29"/>
        <v>1+37.4802564407254i</v>
      </c>
      <c r="F93">
        <f t="shared" ca="1" si="30"/>
        <v>69.486139019499433</v>
      </c>
      <c r="G93" t="str">
        <f t="shared" ca="1" si="42"/>
        <v>0.360810597953106-1.8324661589259i</v>
      </c>
      <c r="H93">
        <f t="shared" ca="1" si="43"/>
        <v>5.425909829485601</v>
      </c>
      <c r="I93">
        <f t="shared" ca="1" si="44"/>
        <v>-78.861014252255089</v>
      </c>
      <c r="K93" t="str">
        <f t="shared" ca="1" si="31"/>
        <v>1+0.110325988510226i</v>
      </c>
      <c r="L93" t="str">
        <f t="shared" ca="1" si="32"/>
        <v>1-0.0303501013107614i</v>
      </c>
      <c r="M93" t="str">
        <f t="shared" ca="1" si="33"/>
        <v>1+35.3043163232722i</v>
      </c>
      <c r="N93" t="str">
        <f t="shared" si="34"/>
        <v>1+0.0888504584214253i</v>
      </c>
      <c r="O93">
        <f t="shared" ca="1" si="35"/>
        <v>30.873410267617786</v>
      </c>
      <c r="P93" t="str">
        <f t="shared" ca="1" si="50"/>
        <v>0.016861452010737-0.876237403895932i</v>
      </c>
      <c r="Q93">
        <f t="shared" ca="1" si="45"/>
        <v>-1.1459563735787832</v>
      </c>
      <c r="R93">
        <f t="shared" ca="1" si="51"/>
        <v>-88.897592349775508</v>
      </c>
      <c r="T93" t="str">
        <f t="shared" si="36"/>
        <v>1+1.4104i</v>
      </c>
      <c r="U93" t="str">
        <f t="shared" si="37"/>
        <v>1+0.082i</v>
      </c>
      <c r="V93" t="str">
        <f t="shared" si="38"/>
        <v>-0.0531764038570618i</v>
      </c>
      <c r="W93" t="str">
        <f t="shared" si="46"/>
        <v>0.0701677270867894-0.0589301574781785i</v>
      </c>
      <c r="X93">
        <f t="shared" si="47"/>
        <v>-20.759134291137936</v>
      </c>
      <c r="Y93">
        <f t="shared" si="48"/>
        <v>-40.0251203383703</v>
      </c>
      <c r="Z93">
        <f t="shared" si="49"/>
        <v>1305.0705333535418</v>
      </c>
      <c r="AA93">
        <f t="shared" ca="1" si="39"/>
        <v>-15.333224461652335</v>
      </c>
      <c r="AB93">
        <f t="shared" ca="1" si="40"/>
        <v>-118.88613459062539</v>
      </c>
    </row>
    <row r="94" spans="1:28" x14ac:dyDescent="0.2">
      <c r="A94">
        <v>8300</v>
      </c>
      <c r="B94" t="str">
        <f t="shared" si="41"/>
        <v>8300i</v>
      </c>
      <c r="C94" t="str">
        <f t="shared" ca="1" si="27"/>
        <v>1+0.111671427394497i</v>
      </c>
      <c r="D94" t="str">
        <f t="shared" ca="1" si="28"/>
        <v>1+0.0586269741284319i</v>
      </c>
      <c r="E94" t="str">
        <f t="shared" ca="1" si="29"/>
        <v>1+37.937332738783i</v>
      </c>
      <c r="F94">
        <f t="shared" ca="1" si="30"/>
        <v>69.486139019499433</v>
      </c>
      <c r="G94" t="str">
        <f t="shared" ca="1" si="42"/>
        <v>0.359632834124447-1.81013208894991i</v>
      </c>
      <c r="H94">
        <f t="shared" ca="1" si="43"/>
        <v>5.3223367198358282</v>
      </c>
      <c r="I94">
        <f t="shared" ca="1" si="44"/>
        <v>-78.762935694878578</v>
      </c>
      <c r="K94" t="str">
        <f t="shared" ca="1" si="31"/>
        <v>1+0.111671427394497i</v>
      </c>
      <c r="L94" t="str">
        <f t="shared" ca="1" si="32"/>
        <v>1-0.030720224497478i</v>
      </c>
      <c r="M94" t="str">
        <f t="shared" ca="1" si="33"/>
        <v>1+35.7348567662389i</v>
      </c>
      <c r="N94" t="str">
        <f t="shared" si="34"/>
        <v>1+0.0899340005972963i</v>
      </c>
      <c r="O94">
        <f t="shared" ca="1" si="35"/>
        <v>30.873410267617786</v>
      </c>
      <c r="P94" t="str">
        <f t="shared" ca="1" si="50"/>
        <v>0.016264151959095-0.86575045580356i</v>
      </c>
      <c r="Q94">
        <f t="shared" ca="1" si="45"/>
        <v>-1.2506129769565133</v>
      </c>
      <c r="R94">
        <f t="shared" ca="1" si="51"/>
        <v>-88.923757236938471</v>
      </c>
      <c r="T94" t="str">
        <f t="shared" si="36"/>
        <v>1+1.4276i</v>
      </c>
      <c r="U94" t="str">
        <f t="shared" si="37"/>
        <v>1+0.083i</v>
      </c>
      <c r="V94" t="str">
        <f t="shared" si="38"/>
        <v>-0.0525357242925189i</v>
      </c>
      <c r="W94" t="str">
        <f t="shared" si="46"/>
        <v>0.0701562286247252-0.0583586912683711i</v>
      </c>
      <c r="X94">
        <f t="shared" si="47"/>
        <v>-20.794784088645404</v>
      </c>
      <c r="Y94">
        <f t="shared" si="48"/>
        <v>-39.755006731255349</v>
      </c>
      <c r="Z94">
        <f t="shared" si="49"/>
        <v>1320.9860276627314</v>
      </c>
      <c r="AA94">
        <f t="shared" ca="1" si="39"/>
        <v>-15.472447368809576</v>
      </c>
      <c r="AB94">
        <f t="shared" ca="1" si="40"/>
        <v>-118.51794242613393</v>
      </c>
    </row>
    <row r="95" spans="1:28" x14ac:dyDescent="0.2">
      <c r="A95">
        <v>8400</v>
      </c>
      <c r="B95" t="str">
        <f t="shared" si="41"/>
        <v>8400i</v>
      </c>
      <c r="C95" t="str">
        <f t="shared" ca="1" si="27"/>
        <v>1+0.113016866278768i</v>
      </c>
      <c r="D95" t="str">
        <f t="shared" ca="1" si="28"/>
        <v>1+0.0593333232143166i</v>
      </c>
      <c r="E95" t="str">
        <f t="shared" ca="1" si="29"/>
        <v>1+38.3944090368407i</v>
      </c>
      <c r="F95">
        <f t="shared" ca="1" si="30"/>
        <v>69.486139019499433</v>
      </c>
      <c r="G95" t="str">
        <f t="shared" ca="1" si="42"/>
        <v>0.358496844386473-1.78832525463735i</v>
      </c>
      <c r="H95">
        <f t="shared" ca="1" si="43"/>
        <v>5.2200413468301985</v>
      </c>
      <c r="I95">
        <f t="shared" ca="1" si="44"/>
        <v>-78.664445149346705</v>
      </c>
      <c r="K95" t="str">
        <f t="shared" ca="1" si="31"/>
        <v>1+0.113016866278768i</v>
      </c>
      <c r="L95" t="str">
        <f t="shared" ca="1" si="32"/>
        <v>1-0.0310903476841946i</v>
      </c>
      <c r="M95" t="str">
        <f t="shared" ca="1" si="33"/>
        <v>1+36.1653972092057i</v>
      </c>
      <c r="N95" t="str">
        <f t="shared" si="34"/>
        <v>1+0.0910175427731674i</v>
      </c>
      <c r="O95">
        <f t="shared" ca="1" si="35"/>
        <v>30.873410267617786</v>
      </c>
      <c r="P95" t="str">
        <f t="shared" ca="1" si="50"/>
        <v>0.0156878078025892-0.855513236592972i</v>
      </c>
      <c r="Q95">
        <f t="shared" ca="1" si="45"/>
        <v>-1.3540052332161658</v>
      </c>
      <c r="R95">
        <f t="shared" ca="1" si="51"/>
        <v>-88.949467511215175</v>
      </c>
      <c r="T95" t="str">
        <f t="shared" si="36"/>
        <v>1+1.4448i</v>
      </c>
      <c r="U95" t="str">
        <f t="shared" si="37"/>
        <v>1+0.084i</v>
      </c>
      <c r="V95" t="str">
        <f t="shared" si="38"/>
        <v>-0.0519102990033223i</v>
      </c>
      <c r="W95" t="str">
        <f t="shared" si="46"/>
        <v>0.0701445946240537-0.0578024449517428i</v>
      </c>
      <c r="X95">
        <f t="shared" si="47"/>
        <v>-20.829470437337751</v>
      </c>
      <c r="Y95">
        <f t="shared" si="48"/>
        <v>-39.49012750547309</v>
      </c>
      <c r="Z95">
        <f t="shared" si="49"/>
        <v>1336.9015219719208</v>
      </c>
      <c r="AA95">
        <f t="shared" ca="1" si="39"/>
        <v>-15.609429090507552</v>
      </c>
      <c r="AB95">
        <f t="shared" ca="1" si="40"/>
        <v>-118.15457265481979</v>
      </c>
    </row>
    <row r="96" spans="1:28" x14ac:dyDescent="0.2">
      <c r="A96">
        <v>8500</v>
      </c>
      <c r="B96" t="str">
        <f t="shared" si="41"/>
        <v>8500i</v>
      </c>
      <c r="C96" t="str">
        <f t="shared" ca="1" si="27"/>
        <v>1+0.114362305163039i</v>
      </c>
      <c r="D96" t="str">
        <f t="shared" ca="1" si="28"/>
        <v>1+0.0600396723002013i</v>
      </c>
      <c r="E96" t="str">
        <f t="shared" ca="1" si="29"/>
        <v>1+38.8514853348983i</v>
      </c>
      <c r="F96">
        <f t="shared" ca="1" si="30"/>
        <v>69.486139019499433</v>
      </c>
      <c r="G96" t="str">
        <f t="shared" ca="1" si="42"/>
        <v>0.357400676692485-1.76702709791453i</v>
      </c>
      <c r="H96">
        <f t="shared" ca="1" si="43"/>
        <v>5.118993973024649</v>
      </c>
      <c r="I96">
        <f t="shared" ca="1" si="44"/>
        <v>-78.565558355727148</v>
      </c>
      <c r="K96" t="str">
        <f t="shared" ca="1" si="31"/>
        <v>1+0.114362305163039i</v>
      </c>
      <c r="L96" t="str">
        <f t="shared" ca="1" si="32"/>
        <v>1-0.0314604708709112i</v>
      </c>
      <c r="M96" t="str">
        <f t="shared" ca="1" si="33"/>
        <v>1+36.5959376521724i</v>
      </c>
      <c r="N96" t="str">
        <f t="shared" si="34"/>
        <v>1+0.0921010849490384i</v>
      </c>
      <c r="O96">
        <f t="shared" ca="1" si="35"/>
        <v>30.873410267617786</v>
      </c>
      <c r="P96" t="str">
        <f t="shared" ca="1" si="50"/>
        <v>0.0151314378673061-0.845516958402869i</v>
      </c>
      <c r="Q96">
        <f t="shared" ca="1" si="45"/>
        <v>-1.4561628574059093</v>
      </c>
      <c r="R96">
        <f t="shared" ca="1" si="51"/>
        <v>-88.974739675565303</v>
      </c>
      <c r="T96" t="str">
        <f t="shared" si="36"/>
        <v>1+1.462i</v>
      </c>
      <c r="U96" t="str">
        <f t="shared" si="37"/>
        <v>1+0.085i</v>
      </c>
      <c r="V96" t="str">
        <f t="shared" si="38"/>
        <v>-0.0512995896032832i</v>
      </c>
      <c r="W96" t="str">
        <f t="shared" si="46"/>
        <v>0.0701328252214956-0.0572608797471103i</v>
      </c>
      <c r="X96">
        <f t="shared" si="47"/>
        <v>-20.863227323051667</v>
      </c>
      <c r="Y96">
        <f t="shared" si="48"/>
        <v>-39.230377247209987</v>
      </c>
      <c r="Z96">
        <f t="shared" si="49"/>
        <v>1352.8170162811105</v>
      </c>
      <c r="AA96">
        <f t="shared" ca="1" si="39"/>
        <v>-15.744233350027018</v>
      </c>
      <c r="AB96">
        <f t="shared" ca="1" si="40"/>
        <v>-117.79593560293713</v>
      </c>
    </row>
    <row r="97" spans="1:28" x14ac:dyDescent="0.2">
      <c r="A97">
        <v>8600</v>
      </c>
      <c r="B97" t="str">
        <f t="shared" si="41"/>
        <v>8600i</v>
      </c>
      <c r="C97" t="str">
        <f t="shared" ca="1" si="27"/>
        <v>1+0.11570774404731i</v>
      </c>
      <c r="D97" t="str">
        <f t="shared" ca="1" si="28"/>
        <v>1+0.060746021386086i</v>
      </c>
      <c r="E97" t="str">
        <f t="shared" ca="1" si="29"/>
        <v>1+39.3085616329559i</v>
      </c>
      <c r="F97">
        <f t="shared" ca="1" si="30"/>
        <v>69.486139019499433</v>
      </c>
      <c r="G97" t="str">
        <f t="shared" ca="1" si="42"/>
        <v>0.356342491674458-1.7462199210074i</v>
      </c>
      <c r="H97">
        <f t="shared" ca="1" si="43"/>
        <v>5.0191659009791731</v>
      </c>
      <c r="I97">
        <f t="shared" ca="1" si="44"/>
        <v>-78.466290336153989</v>
      </c>
      <c r="K97" t="str">
        <f t="shared" ca="1" si="31"/>
        <v>1+0.11570774404731i</v>
      </c>
      <c r="L97" t="str">
        <f t="shared" ca="1" si="32"/>
        <v>1-0.0318305940576278i</v>
      </c>
      <c r="M97" t="str">
        <f t="shared" ca="1" si="33"/>
        <v>1+37.0264780951391i</v>
      </c>
      <c r="N97" t="str">
        <f t="shared" si="34"/>
        <v>1+0.0931846271249094i</v>
      </c>
      <c r="O97">
        <f t="shared" ca="1" si="35"/>
        <v>30.873410267617786</v>
      </c>
      <c r="P97" t="str">
        <f t="shared" ca="1" si="50"/>
        <v>0.014594117139948-0.835753240571527i</v>
      </c>
      <c r="Q97">
        <f t="shared" ca="1" si="45"/>
        <v>-1.5571145253907168</v>
      </c>
      <c r="R97">
        <f t="shared" ca="1" si="51"/>
        <v>-88.999589471311481</v>
      </c>
      <c r="T97" t="str">
        <f t="shared" si="36"/>
        <v>1+1.4792i</v>
      </c>
      <c r="U97" t="str">
        <f t="shared" si="37"/>
        <v>1+0.086i</v>
      </c>
      <c r="V97" t="str">
        <f t="shared" si="38"/>
        <v>-0.0507030827474311i</v>
      </c>
      <c r="W97" t="str">
        <f t="shared" si="46"/>
        <v>0.0701209205552941-0.0567334819151864i</v>
      </c>
      <c r="X97">
        <f t="shared" si="47"/>
        <v>-20.8960873244054</v>
      </c>
      <c r="Y97">
        <f t="shared" si="48"/>
        <v>-38.97565262325638</v>
      </c>
      <c r="Z97">
        <f t="shared" si="49"/>
        <v>1368.7325105902999</v>
      </c>
      <c r="AA97">
        <f t="shared" ca="1" si="39"/>
        <v>-15.876921423426227</v>
      </c>
      <c r="AB97">
        <f t="shared" ca="1" si="40"/>
        <v>-117.44194295941037</v>
      </c>
    </row>
    <row r="98" spans="1:28" x14ac:dyDescent="0.2">
      <c r="A98">
        <v>8700</v>
      </c>
      <c r="B98" t="str">
        <f t="shared" si="41"/>
        <v>8700i</v>
      </c>
      <c r="C98" t="str">
        <f t="shared" ca="1" si="27"/>
        <v>1+0.117053182931581i</v>
      </c>
      <c r="D98" t="str">
        <f t="shared" ca="1" si="28"/>
        <v>1+0.0614523704719708i</v>
      </c>
      <c r="E98" t="str">
        <f t="shared" ca="1" si="29"/>
        <v>1+39.7656379310136i</v>
      </c>
      <c r="F98">
        <f t="shared" ca="1" si="30"/>
        <v>69.486139019499433</v>
      </c>
      <c r="G98" t="str">
        <f t="shared" ca="1" si="42"/>
        <v>0.355320554928789-1.72588683719314i</v>
      </c>
      <c r="H98">
        <f t="shared" ca="1" si="43"/>
        <v>4.9205294253137719</v>
      </c>
      <c r="I98">
        <f t="shared" ca="1" si="44"/>
        <v>-78.366655436001352</v>
      </c>
      <c r="K98" t="str">
        <f t="shared" ca="1" si="31"/>
        <v>1+0.117053182931581i</v>
      </c>
      <c r="L98" t="str">
        <f t="shared" ca="1" si="32"/>
        <v>1-0.0322007172443444i</v>
      </c>
      <c r="M98" t="str">
        <f t="shared" ca="1" si="33"/>
        <v>1+37.4570185381059i</v>
      </c>
      <c r="N98" t="str">
        <f t="shared" si="34"/>
        <v>1+0.0942681693007805i</v>
      </c>
      <c r="O98">
        <f t="shared" ca="1" si="35"/>
        <v>30.873410267617786</v>
      </c>
      <c r="P98" t="str">
        <f t="shared" ca="1" si="50"/>
        <v>0.0140749733895066-0.826214086338104i</v>
      </c>
      <c r="Q98">
        <f t="shared" ca="1" si="45"/>
        <v>-1.6568879217353478</v>
      </c>
      <c r="R98">
        <f t="shared" ca="1" si="51"/>
        <v>-89.024031921826094</v>
      </c>
      <c r="T98" t="str">
        <f t="shared" si="36"/>
        <v>1+1.4964i</v>
      </c>
      <c r="U98" t="str">
        <f t="shared" si="37"/>
        <v>1+0.087i</v>
      </c>
      <c r="V98" t="str">
        <f t="shared" si="38"/>
        <v>-0.0501202886928629i</v>
      </c>
      <c r="W98" t="str">
        <f t="shared" si="46"/>
        <v>0.0701088807652091-0.0562197613194361i</v>
      </c>
      <c r="X98">
        <f t="shared" si="47"/>
        <v>-20.928081679446919</v>
      </c>
      <c r="Y98">
        <f t="shared" si="48"/>
        <v>-38.725852365571278</v>
      </c>
      <c r="Z98">
        <f t="shared" si="49"/>
        <v>1384.6480048994895</v>
      </c>
      <c r="AA98">
        <f t="shared" ca="1" si="39"/>
        <v>-16.007552254133145</v>
      </c>
      <c r="AB98">
        <f t="shared" ca="1" si="40"/>
        <v>-117.09250780157262</v>
      </c>
    </row>
    <row r="99" spans="1:28" x14ac:dyDescent="0.2">
      <c r="A99">
        <v>8800</v>
      </c>
      <c r="B99" t="str">
        <f t="shared" si="41"/>
        <v>8800i</v>
      </c>
      <c r="C99" t="str">
        <f t="shared" ca="1" si="27"/>
        <v>1+0.118398621815852i</v>
      </c>
      <c r="D99" t="str">
        <f t="shared" ca="1" si="28"/>
        <v>1+0.0621587195578555i</v>
      </c>
      <c r="E99" t="str">
        <f t="shared" ca="1" si="29"/>
        <v>1+40.2227142290712i</v>
      </c>
      <c r="F99">
        <f t="shared" ca="1" si="30"/>
        <v>69.486139019499433</v>
      </c>
      <c r="G99" t="str">
        <f t="shared" ca="1" si="42"/>
        <v>0.354333229911126-1.7060117248943i</v>
      </c>
      <c r="H99">
        <f t="shared" ca="1" si="43"/>
        <v>4.8230577874929645</v>
      </c>
      <c r="I99">
        <f t="shared" ca="1" si="44"/>
        <v>-78.266667362252491</v>
      </c>
      <c r="K99" t="str">
        <f t="shared" ca="1" si="31"/>
        <v>1+0.118398621815852i</v>
      </c>
      <c r="L99" t="str">
        <f t="shared" ca="1" si="32"/>
        <v>1-0.032570840431061i</v>
      </c>
      <c r="M99" t="str">
        <f t="shared" ca="1" si="33"/>
        <v>1+37.8875589810726i</v>
      </c>
      <c r="N99" t="str">
        <f t="shared" si="34"/>
        <v>1+0.0953517114766515i</v>
      </c>
      <c r="O99">
        <f t="shared" ca="1" si="35"/>
        <v>30.873410267617786</v>
      </c>
      <c r="P99" t="str">
        <f t="shared" ca="1" si="50"/>
        <v>0.0135731835950776-0.816891861124402i</v>
      </c>
      <c r="Q99">
        <f t="shared" ca="1" si="45"/>
        <v>-1.7555097848630765</v>
      </c>
      <c r="R99">
        <f t="shared" ca="1" si="51"/>
        <v>-89.048081373244585</v>
      </c>
      <c r="T99" t="str">
        <f t="shared" si="36"/>
        <v>1+1.5136i</v>
      </c>
      <c r="U99" t="str">
        <f t="shared" si="37"/>
        <v>1+0.088i</v>
      </c>
      <c r="V99" t="str">
        <f t="shared" si="38"/>
        <v>-0.0495507399577167i</v>
      </c>
      <c r="W99" t="str">
        <f t="shared" si="46"/>
        <v>0.0700967059925149-0.055719250085058i</v>
      </c>
      <c r="X99">
        <f t="shared" si="47"/>
        <v>-20.959240348750221</v>
      </c>
      <c r="Y99">
        <f t="shared" si="48"/>
        <v>-38.480877253292846</v>
      </c>
      <c r="Z99">
        <f t="shared" si="49"/>
        <v>1400.5634992086791</v>
      </c>
      <c r="AA99">
        <f t="shared" ca="1" si="39"/>
        <v>-16.136182561257257</v>
      </c>
      <c r="AB99">
        <f t="shared" ca="1" si="40"/>
        <v>-116.74754461554534</v>
      </c>
    </row>
    <row r="100" spans="1:28" x14ac:dyDescent="0.2">
      <c r="A100">
        <v>8900</v>
      </c>
      <c r="B100" t="str">
        <f t="shared" si="41"/>
        <v>8900i</v>
      </c>
      <c r="C100" t="str">
        <f t="shared" ca="1" si="27"/>
        <v>1+0.119744060700123i</v>
      </c>
      <c r="D100" t="str">
        <f t="shared" ca="1" si="28"/>
        <v>1+0.0628650686437402i</v>
      </c>
      <c r="E100" t="str">
        <f t="shared" ca="1" si="29"/>
        <v>1+40.6797905271288i</v>
      </c>
      <c r="F100">
        <f t="shared" ca="1" si="30"/>
        <v>69.486139019499433</v>
      </c>
      <c r="G100" t="str">
        <f t="shared" ca="1" si="42"/>
        <v>0.353378971385921-1.6865791848541i</v>
      </c>
      <c r="H100">
        <f t="shared" ca="1" si="43"/>
        <v>4.7267251331554148</v>
      </c>
      <c r="I100">
        <f t="shared" ca="1" si="44"/>
        <v>-78.166339219286314</v>
      </c>
      <c r="K100" t="str">
        <f t="shared" ca="1" si="31"/>
        <v>1+0.119744060700123i</v>
      </c>
      <c r="L100" t="str">
        <f t="shared" ca="1" si="32"/>
        <v>1-0.0329409636177776i</v>
      </c>
      <c r="M100" t="str">
        <f t="shared" ca="1" si="33"/>
        <v>1+38.3180994240394i</v>
      </c>
      <c r="N100" t="str">
        <f t="shared" si="34"/>
        <v>1+0.0964352536525226i</v>
      </c>
      <c r="O100">
        <f t="shared" ca="1" si="35"/>
        <v>30.873410267617786</v>
      </c>
      <c r="P100" t="str">
        <f t="shared" ca="1" si="50"/>
        <v>0.0130879706525207-0.80777927227348i</v>
      </c>
      <c r="Q100">
        <f t="shared" ca="1" si="45"/>
        <v>-1.8530059496740163</v>
      </c>
      <c r="R100">
        <f t="shared" ca="1" si="51"/>
        <v>-89.071751532438142</v>
      </c>
      <c r="T100" t="str">
        <f t="shared" si="36"/>
        <v>1+1.5308i</v>
      </c>
      <c r="U100" t="str">
        <f t="shared" si="37"/>
        <v>1+0.089i</v>
      </c>
      <c r="V100" t="str">
        <f t="shared" si="38"/>
        <v>-0.0489939900705514i</v>
      </c>
      <c r="W100" t="str">
        <f t="shared" si="46"/>
        <v>0.0700843963799951-0.055231501348371i</v>
      </c>
      <c r="X100">
        <f t="shared" si="47"/>
        <v>-20.989592075173256</v>
      </c>
      <c r="Y100">
        <f t="shared" si="48"/>
        <v>-38.240630092477893</v>
      </c>
      <c r="Z100">
        <f t="shared" si="49"/>
        <v>1416.4789935178685</v>
      </c>
      <c r="AA100">
        <f t="shared" ca="1" si="39"/>
        <v>-16.26286694201784</v>
      </c>
      <c r="AB100">
        <f t="shared" ca="1" si="40"/>
        <v>-116.40696931176421</v>
      </c>
    </row>
    <row r="101" spans="1:28" x14ac:dyDescent="0.2">
      <c r="A101">
        <v>9000</v>
      </c>
      <c r="B101" t="str">
        <f t="shared" si="41"/>
        <v>9000i</v>
      </c>
      <c r="C101" t="str">
        <f t="shared" ca="1" si="27"/>
        <v>1+0.121089499584394i</v>
      </c>
      <c r="D101" t="str">
        <f t="shared" ca="1" si="28"/>
        <v>1+0.0635714177296249i</v>
      </c>
      <c r="E101" t="str">
        <f t="shared" ca="1" si="29"/>
        <v>1+41.1368668251864i</v>
      </c>
      <c r="F101">
        <f t="shared" ca="1" si="30"/>
        <v>69.486139019499433</v>
      </c>
      <c r="G101" t="str">
        <f t="shared" ca="1" si="42"/>
        <v>0.352456319381806-1.66757450015452i</v>
      </c>
      <c r="H101">
        <f t="shared" ca="1" si="43"/>
        <v>4.6315064718192822</v>
      </c>
      <c r="I101">
        <f t="shared" ca="1" si="44"/>
        <v>-78.065683542281221</v>
      </c>
      <c r="K101" t="str">
        <f t="shared" ca="1" si="31"/>
        <v>1+0.121089499584394i</v>
      </c>
      <c r="L101" t="str">
        <f t="shared" ca="1" si="32"/>
        <v>1-0.0333110868044942i</v>
      </c>
      <c r="M101" t="str">
        <f t="shared" ca="1" si="33"/>
        <v>1+38.7486398670061i</v>
      </c>
      <c r="N101" t="str">
        <f t="shared" si="34"/>
        <v>1+0.0975187958283936i</v>
      </c>
      <c r="O101">
        <f t="shared" ca="1" si="35"/>
        <v>30.873410267617786</v>
      </c>
      <c r="P101" t="str">
        <f t="shared" ca="1" si="50"/>
        <v>0.0126186003353632-0.798869350132496i</v>
      </c>
      <c r="Q101">
        <f t="shared" ca="1" si="45"/>
        <v>-1.9494013877919738</v>
      </c>
      <c r="R101">
        <f t="shared" ca="1" si="51"/>
        <v>-89.09505550245882</v>
      </c>
      <c r="T101" t="str">
        <f t="shared" si="36"/>
        <v>1+1.548i</v>
      </c>
      <c r="U101" t="str">
        <f t="shared" si="37"/>
        <v>1+0.09i</v>
      </c>
      <c r="V101" t="str">
        <f t="shared" si="38"/>
        <v>-0.0484496124031008i</v>
      </c>
      <c r="W101" t="str">
        <f t="shared" si="46"/>
        <v>0.0700719520719382-0.0547560880895752i</v>
      </c>
      <c r="X101">
        <f t="shared" si="47"/>
        <v>-21.019164440475233</v>
      </c>
      <c r="Y101">
        <f t="shared" si="48"/>
        <v>-38.005015693829485</v>
      </c>
      <c r="Z101">
        <f t="shared" si="49"/>
        <v>1432.3944878270581</v>
      </c>
      <c r="AA101">
        <f t="shared" ca="1" si="39"/>
        <v>-16.387657968655951</v>
      </c>
      <c r="AB101">
        <f t="shared" ca="1" si="40"/>
        <v>-116.0706992361107</v>
      </c>
    </row>
    <row r="102" spans="1:28" x14ac:dyDescent="0.2">
      <c r="A102">
        <v>9100</v>
      </c>
      <c r="B102" t="str">
        <f t="shared" si="41"/>
        <v>9100i</v>
      </c>
      <c r="C102" t="str">
        <f t="shared" ca="1" si="27"/>
        <v>1+0.122434938468665i</v>
      </c>
      <c r="D102" t="str">
        <f t="shared" ca="1" si="28"/>
        <v>1+0.0642777668155096i</v>
      </c>
      <c r="E102" t="str">
        <f t="shared" ca="1" si="29"/>
        <v>1+41.5939431232441i</v>
      </c>
      <c r="F102">
        <f t="shared" ca="1" si="30"/>
        <v>69.486139019499433</v>
      </c>
      <c r="G102" t="str">
        <f t="shared" ca="1" si="42"/>
        <v>0.351563893608599-1.6489835988593i</v>
      </c>
      <c r="H102">
        <f t="shared" ca="1" si="43"/>
        <v>4.537377638805081</v>
      </c>
      <c r="I102">
        <f t="shared" ca="1" si="44"/>
        <v>-77.964712328419083</v>
      </c>
      <c r="K102" t="str">
        <f t="shared" ca="1" si="31"/>
        <v>1+0.122434938468665i</v>
      </c>
      <c r="L102" t="str">
        <f t="shared" ca="1" si="32"/>
        <v>1-0.0336812099912108i</v>
      </c>
      <c r="M102" t="str">
        <f t="shared" ca="1" si="33"/>
        <v>1+39.1791803099728i</v>
      </c>
      <c r="N102" t="str">
        <f t="shared" si="34"/>
        <v>1+0.0986023380042646i</v>
      </c>
      <c r="O102">
        <f t="shared" ca="1" si="35"/>
        <v>30.873410267617786</v>
      </c>
      <c r="P102" t="str">
        <f t="shared" ca="1" si="50"/>
        <v>0.0121643784877689-0.7901554303769i</v>
      </c>
      <c r="Q102">
        <f t="shared" ca="1" si="45"/>
        <v>-2.0447202455967703</v>
      </c>
      <c r="R102">
        <f t="shared" ca="1" si="51"/>
        <v>-89.118005815651216</v>
      </c>
      <c r="T102" t="str">
        <f t="shared" si="36"/>
        <v>1+1.5652i</v>
      </c>
      <c r="U102" t="str">
        <f t="shared" si="37"/>
        <v>1+0.091i</v>
      </c>
      <c r="V102" t="str">
        <f t="shared" si="38"/>
        <v>-0.0479171990799898i</v>
      </c>
      <c r="W102" t="str">
        <f t="shared" si="46"/>
        <v>0.0700593732141347-0.0542926020424761i</v>
      </c>
      <c r="X102">
        <f t="shared" si="47"/>
        <v>-21.047983918978019</v>
      </c>
      <c r="Y102">
        <f t="shared" si="48"/>
        <v>-37.773940848653908</v>
      </c>
      <c r="Z102">
        <f t="shared" si="49"/>
        <v>1448.3099821362475</v>
      </c>
      <c r="AA102">
        <f t="shared" ca="1" si="39"/>
        <v>-16.510606280172937</v>
      </c>
      <c r="AB102">
        <f t="shared" ca="1" si="40"/>
        <v>-115.73865317707299</v>
      </c>
    </row>
    <row r="103" spans="1:28" x14ac:dyDescent="0.2">
      <c r="A103">
        <v>9200</v>
      </c>
      <c r="B103" t="str">
        <f t="shared" si="41"/>
        <v>9200i</v>
      </c>
      <c r="C103" t="str">
        <f t="shared" ca="1" si="27"/>
        <v>1+0.123780377352936i</v>
      </c>
      <c r="D103" t="str">
        <f t="shared" ca="1" si="28"/>
        <v>1+0.0649841159013944i</v>
      </c>
      <c r="E103" t="str">
        <f t="shared" ca="1" si="29"/>
        <v>1+42.0510194213017i</v>
      </c>
      <c r="F103">
        <f t="shared" ca="1" si="30"/>
        <v>69.486139019499433</v>
      </c>
      <c r="G103" t="str">
        <f t="shared" ca="1" si="42"/>
        <v>0.350700388296144-1.63079301908342i</v>
      </c>
      <c r="H103">
        <f t="shared" ca="1" si="43"/>
        <v>4.4443152592330009</v>
      </c>
      <c r="I103">
        <f t="shared" ca="1" si="44"/>
        <v>-77.863437066056946</v>
      </c>
      <c r="K103" t="str">
        <f t="shared" ca="1" si="31"/>
        <v>1+0.123780377352936i</v>
      </c>
      <c r="L103" t="str">
        <f t="shared" ca="1" si="32"/>
        <v>1-0.0340513331779274i</v>
      </c>
      <c r="M103" t="str">
        <f t="shared" ca="1" si="33"/>
        <v>1+39.6097207529396i</v>
      </c>
      <c r="N103" t="str">
        <f t="shared" si="34"/>
        <v>1+0.0996858801801357i</v>
      </c>
      <c r="O103">
        <f t="shared" ca="1" si="35"/>
        <v>30.873410267617786</v>
      </c>
      <c r="P103" t="str">
        <f t="shared" ca="1" si="50"/>
        <v>0.0117246484295414-0.781631137482039i</v>
      </c>
      <c r="Q103">
        <f t="shared" ca="1" si="45"/>
        <v>-2.1389858801864796</v>
      </c>
      <c r="R103">
        <f t="shared" ca="1" si="51"/>
        <v>-89.14061446460768</v>
      </c>
      <c r="T103" t="str">
        <f t="shared" si="36"/>
        <v>1+1.5824i</v>
      </c>
      <c r="U103" t="str">
        <f t="shared" si="37"/>
        <v>1+0.092i</v>
      </c>
      <c r="V103" t="str">
        <f t="shared" si="38"/>
        <v>-0.0473963599595551i</v>
      </c>
      <c r="W103" t="str">
        <f t="shared" si="46"/>
        <v>0.0700466599538714-0.0538406526753113i</v>
      </c>
      <c r="X103">
        <f t="shared" si="47"/>
        <v>-21.076075928444698</v>
      </c>
      <c r="Y103">
        <f t="shared" si="48"/>
        <v>-37.547314303267711</v>
      </c>
      <c r="Z103">
        <f t="shared" si="49"/>
        <v>1464.2254764454372</v>
      </c>
      <c r="AA103">
        <f t="shared" ca="1" si="39"/>
        <v>-16.631760669211697</v>
      </c>
      <c r="AB103">
        <f t="shared" ca="1" si="40"/>
        <v>-115.41075136932466</v>
      </c>
    </row>
    <row r="104" spans="1:28" x14ac:dyDescent="0.2">
      <c r="A104">
        <v>9300</v>
      </c>
      <c r="B104" t="str">
        <f t="shared" si="41"/>
        <v>9300i</v>
      </c>
      <c r="C104" t="str">
        <f t="shared" ca="1" si="27"/>
        <v>1+0.125125816237207i</v>
      </c>
      <c r="D104" t="str">
        <f t="shared" ca="1" si="28"/>
        <v>1+0.0656904649872791i</v>
      </c>
      <c r="E104" t="str">
        <f t="shared" ca="1" si="29"/>
        <v>1+42.5080957193593i</v>
      </c>
      <c r="F104">
        <f t="shared" ca="1" si="30"/>
        <v>69.486139019499433</v>
      </c>
      <c r="G104" t="str">
        <f t="shared" ca="1" si="42"/>
        <v>0.349864567418913-1.61298987630687i</v>
      </c>
      <c r="H104">
        <f t="shared" ca="1" si="43"/>
        <v>4.3522967139586166</v>
      </c>
      <c r="I104">
        <f t="shared" ca="1" si="44"/>
        <v>-77.76186876201821</v>
      </c>
      <c r="K104" t="str">
        <f t="shared" ca="1" si="31"/>
        <v>1+0.125125816237207i</v>
      </c>
      <c r="L104" t="str">
        <f t="shared" ca="1" si="32"/>
        <v>1-0.034421456364644i</v>
      </c>
      <c r="M104" t="str">
        <f t="shared" ca="1" si="33"/>
        <v>1+40.0402611959063i</v>
      </c>
      <c r="N104" t="str">
        <f t="shared" si="34"/>
        <v>1+0.100769422356007i</v>
      </c>
      <c r="O104">
        <f t="shared" ca="1" si="35"/>
        <v>30.873410267617786</v>
      </c>
      <c r="P104" t="str">
        <f t="shared" ca="1" si="50"/>
        <v>0.0112987885550582-0.773290369256279i</v>
      </c>
      <c r="Q104">
        <f t="shared" ca="1" si="45"/>
        <v>-2.2322208934031105</v>
      </c>
      <c r="R104">
        <f t="shared" ca="1" si="51"/>
        <v>-89.162892931129292</v>
      </c>
      <c r="T104" t="str">
        <f t="shared" si="36"/>
        <v>1+1.5996i</v>
      </c>
      <c r="U104" t="str">
        <f t="shared" si="37"/>
        <v>1+0.093i</v>
      </c>
      <c r="V104" t="str">
        <f t="shared" si="38"/>
        <v>-0.0468867216804201i</v>
      </c>
      <c r="W104" t="str">
        <f t="shared" si="46"/>
        <v>0.070033812439928-0.0533998662373334i</v>
      </c>
      <c r="X104">
        <f t="shared" si="47"/>
        <v>-21.103464878335757</v>
      </c>
      <c r="Y104">
        <f t="shared" si="48"/>
        <v>-37.325046732059157</v>
      </c>
      <c r="Z104">
        <f t="shared" si="49"/>
        <v>1480.1409707546268</v>
      </c>
      <c r="AA104">
        <f t="shared" ca="1" si="39"/>
        <v>-16.751168164377141</v>
      </c>
      <c r="AB104">
        <f t="shared" ca="1" si="40"/>
        <v>-115.08691549407737</v>
      </c>
    </row>
    <row r="105" spans="1:28" x14ac:dyDescent="0.2">
      <c r="A105">
        <v>9400</v>
      </c>
      <c r="B105" t="str">
        <f t="shared" si="41"/>
        <v>9400i</v>
      </c>
      <c r="C105" t="str">
        <f t="shared" ca="1" si="27"/>
        <v>1+0.126471255121478i</v>
      </c>
      <c r="D105" t="str">
        <f t="shared" ca="1" si="28"/>
        <v>1+0.0663968140731638i</v>
      </c>
      <c r="E105" t="str">
        <f t="shared" ca="1" si="29"/>
        <v>1+42.9651720174169i</v>
      </c>
      <c r="F105">
        <f t="shared" ca="1" si="30"/>
        <v>69.486139019499433</v>
      </c>
      <c r="G105" t="str">
        <f t="shared" ca="1" si="42"/>
        <v>0.349055260273801-1.59556183276678i</v>
      </c>
      <c r="H105">
        <f t="shared" ca="1" si="43"/>
        <v>4.2613001073253391</v>
      </c>
      <c r="I105">
        <f t="shared" ca="1" si="44"/>
        <v>-77.660017967144711</v>
      </c>
      <c r="K105" t="str">
        <f t="shared" ca="1" si="31"/>
        <v>1+0.126471255121478i</v>
      </c>
      <c r="L105" t="str">
        <f t="shared" ca="1" si="32"/>
        <v>1-0.0347915795513606i</v>
      </c>
      <c r="M105" t="str">
        <f t="shared" ca="1" si="33"/>
        <v>1+40.470801638873i</v>
      </c>
      <c r="N105" t="str">
        <f t="shared" si="34"/>
        <v>1+0.101852964531878i</v>
      </c>
      <c r="O105">
        <f t="shared" ca="1" si="35"/>
        <v>30.873410267617786</v>
      </c>
      <c r="P105" t="str">
        <f t="shared" ca="1" si="50"/>
        <v>0.0108862101097496-0.765127282356962i</v>
      </c>
      <c r="Q105">
        <f t="shared" ca="1" si="45"/>
        <v>-2.3244471640458007</v>
      </c>
      <c r="R105">
        <f t="shared" ca="1" si="51"/>
        <v>-89.184852213340861</v>
      </c>
      <c r="T105" t="str">
        <f t="shared" si="36"/>
        <v>1+1.6168i</v>
      </c>
      <c r="U105" t="str">
        <f t="shared" si="37"/>
        <v>1+0.094i</v>
      </c>
      <c r="V105" t="str">
        <f t="shared" si="38"/>
        <v>-0.0463879267689263i</v>
      </c>
      <c r="W105" t="str">
        <f t="shared" si="46"/>
        <v>0.0700208308225727-0.0529698848662481i</v>
      </c>
      <c r="X105">
        <f t="shared" si="47"/>
        <v>-21.130174215593904</v>
      </c>
      <c r="Y105">
        <f t="shared" si="48"/>
        <v>-37.107050709390727</v>
      </c>
      <c r="Z105">
        <f t="shared" si="49"/>
        <v>1496.0564650638162</v>
      </c>
      <c r="AA105">
        <f t="shared" ca="1" si="39"/>
        <v>-16.868874108268564</v>
      </c>
      <c r="AB105">
        <f t="shared" ca="1" si="40"/>
        <v>-114.76706867653544</v>
      </c>
    </row>
    <row r="106" spans="1:28" x14ac:dyDescent="0.2">
      <c r="A106">
        <v>9500</v>
      </c>
      <c r="B106" t="str">
        <f t="shared" si="41"/>
        <v>9500i</v>
      </c>
      <c r="C106" t="str">
        <f t="shared" ca="1" si="27"/>
        <v>1+0.127816694005749i</v>
      </c>
      <c r="D106" t="str">
        <f t="shared" ca="1" si="28"/>
        <v>1+0.0671031631590485i</v>
      </c>
      <c r="E106" t="str">
        <f t="shared" ca="1" si="29"/>
        <v>1+43.4222483154746i</v>
      </c>
      <c r="F106">
        <f t="shared" ca="1" si="30"/>
        <v>69.486139019499433</v>
      </c>
      <c r="G106" t="str">
        <f t="shared" ca="1" si="42"/>
        <v>0.348271357381551-1.57849706877501i</v>
      </c>
      <c r="H106">
        <f t="shared" ca="1" si="43"/>
        <v>4.1713042366164279</v>
      </c>
      <c r="I106">
        <f t="shared" ca="1" si="44"/>
        <v>-77.557894800235843</v>
      </c>
      <c r="K106" t="str">
        <f t="shared" ca="1" si="31"/>
        <v>1+0.127816694005749i</v>
      </c>
      <c r="L106" t="str">
        <f t="shared" ca="1" si="32"/>
        <v>1-0.0351617027380772i</v>
      </c>
      <c r="M106" t="str">
        <f t="shared" ca="1" si="33"/>
        <v>1+40.9013420818398i</v>
      </c>
      <c r="N106" t="str">
        <f t="shared" si="34"/>
        <v>1+0.102936506707749i</v>
      </c>
      <c r="O106">
        <f t="shared" ca="1" si="35"/>
        <v>30.873410267617786</v>
      </c>
      <c r="P106" t="str">
        <f t="shared" ca="1" si="50"/>
        <v>0.0104863551292766-0.757136278717211i</v>
      </c>
      <c r="Q106">
        <f t="shared" ca="1" si="45"/>
        <v>-2.4156858783854243</v>
      </c>
      <c r="R106">
        <f t="shared" ca="1" si="51"/>
        <v>-89.206502851095678</v>
      </c>
      <c r="T106" t="str">
        <f t="shared" si="36"/>
        <v>1+1.634i</v>
      </c>
      <c r="U106" t="str">
        <f t="shared" si="37"/>
        <v>1+0.095i</v>
      </c>
      <c r="V106" t="str">
        <f t="shared" si="38"/>
        <v>-0.0458996328029376i</v>
      </c>
      <c r="W106" t="str">
        <f t="shared" si="46"/>
        <v>0.0700077152535576-0.0525503657520256i</v>
      </c>
      <c r="X106">
        <f t="shared" si="47"/>
        <v>-21.15622646809841</v>
      </c>
      <c r="Y106">
        <f t="shared" si="48"/>
        <v>-36.893240680515142</v>
      </c>
      <c r="Z106">
        <f t="shared" si="49"/>
        <v>1511.9719593730058</v>
      </c>
      <c r="AA106">
        <f t="shared" ca="1" si="39"/>
        <v>-16.984922231481981</v>
      </c>
      <c r="AB106">
        <f t="shared" ca="1" si="40"/>
        <v>-114.45113548075099</v>
      </c>
    </row>
    <row r="107" spans="1:28" x14ac:dyDescent="0.2">
      <c r="A107">
        <v>9600</v>
      </c>
      <c r="B107" t="str">
        <f t="shared" si="41"/>
        <v>9600i</v>
      </c>
      <c r="C107" t="str">
        <f t="shared" ca="1" si="27"/>
        <v>1+0.12916213289002i</v>
      </c>
      <c r="D107" t="str">
        <f t="shared" ca="1" si="28"/>
        <v>1+0.0678095122449333i</v>
      </c>
      <c r="E107" t="str">
        <f t="shared" ca="1" si="29"/>
        <v>1+43.8793246135322i</v>
      </c>
      <c r="F107">
        <f t="shared" ca="1" si="30"/>
        <v>69.486139019499433</v>
      </c>
      <c r="G107" t="str">
        <f t="shared" ca="1" si="42"/>
        <v>0.347511806685059-1.56178425582186i</v>
      </c>
      <c r="H107">
        <f t="shared" ca="1" si="43"/>
        <v>4.08228856310257</v>
      </c>
      <c r="I107">
        <f t="shared" ca="1" si="44"/>
        <v>-77.455508970494222</v>
      </c>
      <c r="K107" t="str">
        <f t="shared" ca="1" si="31"/>
        <v>1+0.12916213289002i</v>
      </c>
      <c r="L107" t="str">
        <f t="shared" ca="1" si="32"/>
        <v>1-0.0355318259247938i</v>
      </c>
      <c r="M107" t="str">
        <f t="shared" ca="1" si="33"/>
        <v>1+41.3318825248065i</v>
      </c>
      <c r="N107" t="str">
        <f t="shared" si="34"/>
        <v>1+0.10402004888362i</v>
      </c>
      <c r="O107">
        <f t="shared" ca="1" si="35"/>
        <v>30.873410267617786</v>
      </c>
      <c r="P107" t="str">
        <f t="shared" ca="1" si="50"/>
        <v>0.0100986945279521-0.749311992817397i</v>
      </c>
      <c r="Q107">
        <f t="shared" ca="1" si="45"/>
        <v>-2.5059575590878405</v>
      </c>
      <c r="R107">
        <f t="shared" ca="1" si="51"/>
        <v>-89.22785494979442</v>
      </c>
      <c r="T107" t="str">
        <f t="shared" si="36"/>
        <v>1+1.6512i</v>
      </c>
      <c r="U107" t="str">
        <f t="shared" si="37"/>
        <v>1+0.096i</v>
      </c>
      <c r="V107" t="str">
        <f t="shared" si="38"/>
        <v>-0.045421511627907i</v>
      </c>
      <c r="W107" t="str">
        <f t="shared" si="46"/>
        <v>0.0699944658861145-0.052140980352974i</v>
      </c>
      <c r="X107">
        <f t="shared" si="47"/>
        <v>-21.18164328592071</v>
      </c>
      <c r="Y107">
        <f t="shared" si="48"/>
        <v>-36.683532931661645</v>
      </c>
      <c r="Z107">
        <f t="shared" si="49"/>
        <v>1527.8874536821952</v>
      </c>
      <c r="AA107">
        <f t="shared" ca="1" si="39"/>
        <v>-17.099354722818141</v>
      </c>
      <c r="AB107">
        <f t="shared" ca="1" si="40"/>
        <v>-114.13904190215587</v>
      </c>
    </row>
    <row r="108" spans="1:28" x14ac:dyDescent="0.2">
      <c r="A108">
        <v>9700</v>
      </c>
      <c r="B108" t="str">
        <f t="shared" si="41"/>
        <v>9700i</v>
      </c>
      <c r="C108" t="str">
        <f t="shared" ca="1" si="27"/>
        <v>1+0.130507571774291i</v>
      </c>
      <c r="D108" t="str">
        <f t="shared" ca="1" si="28"/>
        <v>1+0.068515861330818i</v>
      </c>
      <c r="E108" t="str">
        <f t="shared" ca="1" si="29"/>
        <v>1+44.3364009115898i</v>
      </c>
      <c r="F108">
        <f t="shared" ca="1" si="30"/>
        <v>69.486139019499433</v>
      </c>
      <c r="G108" t="str">
        <f t="shared" ca="1" si="42"/>
        <v>0.346775610020201-1.54541253133706i</v>
      </c>
      <c r="H108">
        <f t="shared" ca="1" si="43"/>
        <v>3.9942331845835115</v>
      </c>
      <c r="I108">
        <f t="shared" ca="1" si="44"/>
        <v>-77.35286979858293</v>
      </c>
      <c r="K108" t="str">
        <f t="shared" ca="1" si="31"/>
        <v>1+0.130507571774291i</v>
      </c>
      <c r="L108" t="str">
        <f t="shared" ca="1" si="32"/>
        <v>1-0.0359019491115104i</v>
      </c>
      <c r="M108" t="str">
        <f t="shared" ca="1" si="33"/>
        <v>1+41.7624229677732i</v>
      </c>
      <c r="N108" t="str">
        <f t="shared" si="34"/>
        <v>1+0.105103591059491i</v>
      </c>
      <c r="O108">
        <f t="shared" ca="1" si="35"/>
        <v>30.873410267617786</v>
      </c>
      <c r="P108" t="str">
        <f t="shared" ca="1" si="50"/>
        <v>0.00972272632417181-0.741649279740703i</v>
      </c>
      <c r="Q108">
        <f t="shared" ca="1" si="45"/>
        <v>-2.5952820926433211</v>
      </c>
      <c r="R108">
        <f t="shared" ca="1" si="51"/>
        <v>-89.248918202732895</v>
      </c>
      <c r="T108" t="str">
        <f t="shared" si="36"/>
        <v>1+1.6684i</v>
      </c>
      <c r="U108" t="str">
        <f t="shared" si="37"/>
        <v>1+0.097i</v>
      </c>
      <c r="V108" t="str">
        <f t="shared" si="38"/>
        <v>-0.0449532486214337i</v>
      </c>
      <c r="W108" t="str">
        <f t="shared" si="46"/>
        <v>0.0699810828749505-0.0517414136603039i</v>
      </c>
      <c r="X108">
        <f t="shared" si="47"/>
        <v>-21.20644548050489</v>
      </c>
      <c r="Y108">
        <f t="shared" si="48"/>
        <v>-36.47784555943737</v>
      </c>
      <c r="Z108">
        <f t="shared" si="49"/>
        <v>1543.8029479913848</v>
      </c>
      <c r="AA108">
        <f t="shared" ca="1" si="39"/>
        <v>-17.212212295921379</v>
      </c>
      <c r="AB108">
        <f t="shared" ca="1" si="40"/>
        <v>-113.8307153580203</v>
      </c>
    </row>
    <row r="109" spans="1:28" x14ac:dyDescent="0.2">
      <c r="A109">
        <v>9800</v>
      </c>
      <c r="B109" t="str">
        <f t="shared" si="41"/>
        <v>9800i</v>
      </c>
      <c r="C109" t="str">
        <f t="shared" ca="1" si="27"/>
        <v>1+0.131853010658562i</v>
      </c>
      <c r="D109" t="str">
        <f t="shared" ca="1" si="28"/>
        <v>1+0.0692222104167027i</v>
      </c>
      <c r="E109" t="str">
        <f t="shared" ca="1" si="29"/>
        <v>1+44.7934772096475i</v>
      </c>
      <c r="F109">
        <f t="shared" ca="1" si="30"/>
        <v>69.486139019499433</v>
      </c>
      <c r="G109" t="str">
        <f t="shared" ca="1" si="42"/>
        <v>0.346061819837117-1.52937147499063i</v>
      </c>
      <c r="H109">
        <f t="shared" ca="1" si="43"/>
        <v>3.9071188093347091</v>
      </c>
      <c r="I109">
        <f t="shared" ca="1" si="44"/>
        <v>-77.249986236396154</v>
      </c>
      <c r="K109" t="str">
        <f t="shared" ca="1" si="31"/>
        <v>1+0.131853010658562i</v>
      </c>
      <c r="L109" t="str">
        <f t="shared" ca="1" si="32"/>
        <v>1-0.036272072298227i</v>
      </c>
      <c r="M109" t="str">
        <f t="shared" ca="1" si="33"/>
        <v>1+42.19296341074i</v>
      </c>
      <c r="N109" t="str">
        <f t="shared" si="34"/>
        <v>1+0.106187133235362i</v>
      </c>
      <c r="O109">
        <f t="shared" ca="1" si="35"/>
        <v>30.873410267617786</v>
      </c>
      <c r="P109" t="str">
        <f t="shared" ca="1" si="50"/>
        <v>0.0093579739917589-0.734143203956968i</v>
      </c>
      <c r="Q109">
        <f t="shared" ca="1" si="45"/>
        <v>-2.6836787553944856</v>
      </c>
      <c r="R109">
        <f t="shared" ca="1" si="51"/>
        <v>-89.26970191208288</v>
      </c>
      <c r="T109" t="str">
        <f t="shared" si="36"/>
        <v>1+1.6856i</v>
      </c>
      <c r="U109" t="str">
        <f t="shared" si="37"/>
        <v>1+0.098i</v>
      </c>
      <c r="V109" t="str">
        <f t="shared" si="38"/>
        <v>-0.0444945420028477i</v>
      </c>
      <c r="W109" t="str">
        <f t="shared" si="46"/>
        <v>0.0699675663762436-0.0513513635077196i</v>
      </c>
      <c r="X109">
        <f t="shared" si="47"/>
        <v>-21.230653061888944</v>
      </c>
      <c r="Y109">
        <f t="shared" si="48"/>
        <v>-36.276098439674563</v>
      </c>
      <c r="Z109">
        <f t="shared" si="49"/>
        <v>1559.7184423005745</v>
      </c>
      <c r="AA109">
        <f t="shared" ca="1" si="39"/>
        <v>-17.323534252554236</v>
      </c>
      <c r="AB109">
        <f t="shared" ca="1" si="40"/>
        <v>-113.52608467607072</v>
      </c>
    </row>
    <row r="110" spans="1:28" x14ac:dyDescent="0.2">
      <c r="A110">
        <v>9900</v>
      </c>
      <c r="B110" t="str">
        <f t="shared" si="41"/>
        <v>9900i</v>
      </c>
      <c r="C110" t="str">
        <f t="shared" ca="1" si="27"/>
        <v>1+0.133198449542833i</v>
      </c>
      <c r="D110" t="str">
        <f t="shared" ca="1" si="28"/>
        <v>1+0.0699285595025874i</v>
      </c>
      <c r="E110" t="str">
        <f t="shared" ca="1" si="29"/>
        <v>1+45.2505535077051i</v>
      </c>
      <c r="F110">
        <f t="shared" ca="1" si="30"/>
        <v>69.486139019499433</v>
      </c>
      <c r="G110" t="str">
        <f t="shared" ca="1" si="42"/>
        <v>0.345369536151839-1.51365108642486i</v>
      </c>
      <c r="H110">
        <f t="shared" ca="1" si="43"/>
        <v>3.8209267313720243</v>
      </c>
      <c r="I110">
        <f t="shared" ca="1" si="44"/>
        <v>-77.146866885631724</v>
      </c>
      <c r="K110" t="str">
        <f t="shared" ca="1" si="31"/>
        <v>1+0.133198449542833i</v>
      </c>
      <c r="L110" t="str">
        <f t="shared" ca="1" si="32"/>
        <v>1-0.0366421954849436i</v>
      </c>
      <c r="M110" t="str">
        <f t="shared" ca="1" si="33"/>
        <v>1+42.6235038537067i</v>
      </c>
      <c r="N110" t="str">
        <f t="shared" si="34"/>
        <v>1+0.107270675411233i</v>
      </c>
      <c r="O110">
        <f t="shared" ca="1" si="35"/>
        <v>30.873410267617786</v>
      </c>
      <c r="P110" t="str">
        <f t="shared" ca="1" si="50"/>
        <v>0.00900398492710757-0.726789028783594i</v>
      </c>
      <c r="Q110">
        <f t="shared" ca="1" si="45"/>
        <v>-2.7711662382472939</v>
      </c>
      <c r="R110">
        <f t="shared" ca="1" si="51"/>
        <v>-89.290215008603241</v>
      </c>
      <c r="T110" t="str">
        <f t="shared" si="36"/>
        <v>1+1.7028i</v>
      </c>
      <c r="U110" t="str">
        <f t="shared" si="37"/>
        <v>1+0.099i</v>
      </c>
      <c r="V110" t="str">
        <f t="shared" si="38"/>
        <v>-0.0440451021846371i</v>
      </c>
      <c r="W110" t="str">
        <f t="shared" si="46"/>
        <v>0.0699539165476376-0.0509705399228532i</v>
      </c>
      <c r="X110">
        <f t="shared" si="47"/>
        <v>-21.254285274075428</v>
      </c>
      <c r="Y110">
        <f t="shared" si="48"/>
        <v>-36.078213195843986</v>
      </c>
      <c r="Z110">
        <f t="shared" si="49"/>
        <v>1575.6339366097639</v>
      </c>
      <c r="AA110">
        <f t="shared" ca="1" si="39"/>
        <v>-17.433358542703402</v>
      </c>
      <c r="AB110">
        <f t="shared" ca="1" si="40"/>
        <v>-113.22508008147571</v>
      </c>
    </row>
    <row r="111" spans="1:28" x14ac:dyDescent="0.2">
      <c r="A111">
        <v>10000</v>
      </c>
      <c r="B111" t="str">
        <f t="shared" si="41"/>
        <v>10000i</v>
      </c>
      <c r="C111" t="str">
        <f t="shared" ca="1" si="27"/>
        <v>1+0.134543888427104i</v>
      </c>
      <c r="D111" t="str">
        <f t="shared" ca="1" si="28"/>
        <v>1+0.0706349085884721i</v>
      </c>
      <c r="E111" t="str">
        <f t="shared" ca="1" si="29"/>
        <v>1+45.7076298057627i</v>
      </c>
      <c r="F111">
        <f t="shared" ca="1" si="30"/>
        <v>69.486139019499433</v>
      </c>
      <c r="G111" t="str">
        <f t="shared" ca="1" si="42"/>
        <v>0.344697903709927-1.49824176431776i</v>
      </c>
      <c r="H111">
        <f t="shared" ca="1" si="43"/>
        <v>3.735638806955885</v>
      </c>
      <c r="I111">
        <f t="shared" ca="1" si="44"/>
        <v>-77.043520015251389</v>
      </c>
      <c r="K111" t="str">
        <f t="shared" ca="1" si="31"/>
        <v>1+0.134543888427104i</v>
      </c>
      <c r="L111" t="str">
        <f t="shared" ca="1" si="32"/>
        <v>1-0.0370123186716602i</v>
      </c>
      <c r="M111" t="str">
        <f t="shared" ca="1" si="33"/>
        <v>1+43.0540442966734i</v>
      </c>
      <c r="N111" t="str">
        <f t="shared" si="34"/>
        <v>1+0.108354217587104i</v>
      </c>
      <c r="O111">
        <f t="shared" ca="1" si="35"/>
        <v>30.873410267617786</v>
      </c>
      <c r="P111" t="str">
        <f t="shared" ca="1" si="50"/>
        <v>0.00866032902293137-0.719582206476309i</v>
      </c>
      <c r="Q111">
        <f t="shared" ca="1" si="45"/>
        <v>-2.8577626701445942</v>
      </c>
      <c r="R111">
        <f t="shared" ca="1" si="51"/>
        <v>-89.31046607016944</v>
      </c>
      <c r="T111" t="str">
        <f t="shared" si="36"/>
        <v>1+1.72i</v>
      </c>
      <c r="U111" t="str">
        <f t="shared" si="37"/>
        <v>1+0.1i</v>
      </c>
      <c r="V111" t="str">
        <f t="shared" si="38"/>
        <v>-0.0436046511627907i</v>
      </c>
      <c r="W111" t="str">
        <f t="shared" si="46"/>
        <v>0.0699401335482386-0.0505986645176145i</v>
      </c>
      <c r="X111">
        <f t="shared" si="47"/>
        <v>-21.277360628653131</v>
      </c>
      <c r="Y111">
        <f t="shared" si="48"/>
        <v>-35.88411316714393</v>
      </c>
      <c r="Z111">
        <f t="shared" si="49"/>
        <v>1591.5494309189535</v>
      </c>
      <c r="AA111">
        <f t="shared" ca="1" si="39"/>
        <v>-17.541721821697244</v>
      </c>
      <c r="AB111">
        <f t="shared" ca="1" si="40"/>
        <v>-112.92763318239531</v>
      </c>
    </row>
    <row r="112" spans="1:28" x14ac:dyDescent="0.2">
      <c r="A112">
        <v>11000</v>
      </c>
      <c r="B112" t="str">
        <f t="shared" si="41"/>
        <v>11000i</v>
      </c>
      <c r="C112" t="str">
        <f t="shared" ca="1" si="27"/>
        <v>1+0.147998277269815i</v>
      </c>
      <c r="D112" t="str">
        <f t="shared" ca="1" si="28"/>
        <v>1+0.0776983994473193i</v>
      </c>
      <c r="E112" t="str">
        <f t="shared" ca="1" si="29"/>
        <v>1+50.278392786339i</v>
      </c>
      <c r="F112">
        <f t="shared" ca="1" si="30"/>
        <v>69.486139019499433</v>
      </c>
      <c r="G112" t="str">
        <f t="shared" ca="1" si="42"/>
        <v>0.33895643260167-1.35939400119718i</v>
      </c>
      <c r="H112">
        <f t="shared" ca="1" si="43"/>
        <v>2.9288567716054641</v>
      </c>
      <c r="I112">
        <f t="shared" ca="1" si="44"/>
        <v>-75.999149188942908</v>
      </c>
      <c r="K112" t="str">
        <f t="shared" ca="1" si="31"/>
        <v>1+0.147998277269815i</v>
      </c>
      <c r="L112" t="str">
        <f t="shared" ca="1" si="32"/>
        <v>1-0.0407135505388262i</v>
      </c>
      <c r="M112" t="str">
        <f t="shared" ca="1" si="33"/>
        <v>1+47.3594487263408i</v>
      </c>
      <c r="N112" t="str">
        <f t="shared" si="34"/>
        <v>1+0.119189639345814i</v>
      </c>
      <c r="O112">
        <f t="shared" ca="1" si="35"/>
        <v>30.873410267617786</v>
      </c>
      <c r="P112" t="str">
        <f t="shared" ca="1" si="50"/>
        <v>0.00571114599959732-0.654735835731076i</v>
      </c>
      <c r="Q112">
        <f t="shared" ca="1" si="45"/>
        <v>-3.678347330768486</v>
      </c>
      <c r="R112">
        <f t="shared" ca="1" si="51"/>
        <v>-89.500231627429358</v>
      </c>
      <c r="T112" t="str">
        <f t="shared" si="36"/>
        <v>1+1.892i</v>
      </c>
      <c r="U112" t="str">
        <f t="shared" si="37"/>
        <v>1+0.11i</v>
      </c>
      <c r="V112" t="str">
        <f t="shared" si="38"/>
        <v>-0.0396405919661734i</v>
      </c>
      <c r="W112" t="str">
        <f t="shared" si="46"/>
        <v>0.0697950151998034-0.0473180436381518i</v>
      </c>
      <c r="X112">
        <f t="shared" si="47"/>
        <v>-21.481095462763903</v>
      </c>
      <c r="Y112">
        <f t="shared" si="48"/>
        <v>-34.135596593255734</v>
      </c>
      <c r="Z112">
        <f t="shared" si="49"/>
        <v>1750.7043740108488</v>
      </c>
      <c r="AA112">
        <f t="shared" ca="1" si="39"/>
        <v>-18.55223869115844</v>
      </c>
      <c r="AB112">
        <f t="shared" ca="1" si="40"/>
        <v>-110.13474578219865</v>
      </c>
    </row>
    <row r="113" spans="1:28" x14ac:dyDescent="0.2">
      <c r="A113">
        <v>12000</v>
      </c>
      <c r="B113" t="str">
        <f t="shared" si="41"/>
        <v>12000i</v>
      </c>
      <c r="C113" t="str">
        <f t="shared" ca="1" si="27"/>
        <v>1+0.161452666112525i</v>
      </c>
      <c r="D113" t="str">
        <f t="shared" ca="1" si="28"/>
        <v>1+0.0847618903061666i</v>
      </c>
      <c r="E113" t="str">
        <f t="shared" ca="1" si="29"/>
        <v>1+54.8491557669153i</v>
      </c>
      <c r="F113">
        <f t="shared" ca="1" si="30"/>
        <v>69.486139019499433</v>
      </c>
      <c r="G113" t="str">
        <f t="shared" ca="1" si="42"/>
        <v>0.334588934496593-1.24342169015625i</v>
      </c>
      <c r="H113">
        <f t="shared" ca="1" si="43"/>
        <v>2.1959690385981259</v>
      </c>
      <c r="I113">
        <f t="shared" ca="1" si="44"/>
        <v>-74.939178912783674</v>
      </c>
      <c r="K113" t="str">
        <f t="shared" ca="1" si="31"/>
        <v>1+0.161452666112525i</v>
      </c>
      <c r="L113" t="str">
        <f t="shared" ca="1" si="32"/>
        <v>1-0.0444147824059922i</v>
      </c>
      <c r="M113" t="str">
        <f t="shared" ca="1" si="33"/>
        <v>1+51.6648531560081i</v>
      </c>
      <c r="N113" t="str">
        <f t="shared" si="34"/>
        <v>1+0.130025061104525i</v>
      </c>
      <c r="O113">
        <f t="shared" ca="1" si="35"/>
        <v>30.873410267617786</v>
      </c>
      <c r="P113" t="str">
        <f t="shared" ca="1" si="50"/>
        <v>0.00344771527527322-0.600725672199353i</v>
      </c>
      <c r="Q113">
        <f t="shared" ca="1" si="45"/>
        <v>-4.4263331090120133</v>
      </c>
      <c r="R113">
        <f t="shared" ca="1" si="51"/>
        <v>-89.67116876387621</v>
      </c>
      <c r="T113" t="str">
        <f t="shared" si="36"/>
        <v>1+2.064i</v>
      </c>
      <c r="U113" t="str">
        <f t="shared" si="37"/>
        <v>1+0.12i</v>
      </c>
      <c r="V113" t="str">
        <f t="shared" si="38"/>
        <v>-0.0363372093023256i</v>
      </c>
      <c r="W113" t="str">
        <f t="shared" si="46"/>
        <v>0.0696367654610814-0.0446936211576554i</v>
      </c>
      <c r="X113">
        <f t="shared" si="47"/>
        <v>-21.64512429296073</v>
      </c>
      <c r="Y113">
        <f t="shared" si="48"/>
        <v>-32.692781782350885</v>
      </c>
      <c r="Z113">
        <f t="shared" si="49"/>
        <v>1909.8593171027442</v>
      </c>
      <c r="AA113">
        <f t="shared" ca="1" si="39"/>
        <v>-19.449155254362605</v>
      </c>
      <c r="AB113">
        <f t="shared" ca="1" si="40"/>
        <v>-107.63196069513455</v>
      </c>
    </row>
    <row r="114" spans="1:28" x14ac:dyDescent="0.2">
      <c r="A114">
        <v>13000</v>
      </c>
      <c r="B114" t="str">
        <f t="shared" si="41"/>
        <v>13000i</v>
      </c>
      <c r="C114" t="str">
        <f t="shared" ca="1" si="27"/>
        <v>1+0.174907054955236i</v>
      </c>
      <c r="D114" t="str">
        <f t="shared" ca="1" si="28"/>
        <v>1+0.0918253811650138i</v>
      </c>
      <c r="E114" t="str">
        <f t="shared" ca="1" si="29"/>
        <v>1+59.4199187474915i</v>
      </c>
      <c r="F114">
        <f t="shared" ca="1" si="30"/>
        <v>69.486139019499433</v>
      </c>
      <c r="G114" t="str">
        <f t="shared" ca="1" si="42"/>
        <v>0.331189612205918-1.14505271002747i</v>
      </c>
      <c r="H114">
        <f t="shared" ca="1" si="43"/>
        <v>1.5254281164122243</v>
      </c>
      <c r="I114">
        <f t="shared" ca="1" si="44"/>
        <v>-73.868266809783563</v>
      </c>
      <c r="K114" t="str">
        <f t="shared" ca="1" si="31"/>
        <v>1+0.174907054955236i</v>
      </c>
      <c r="L114" t="str">
        <f t="shared" ca="1" si="32"/>
        <v>1-0.0481160142731582i</v>
      </c>
      <c r="M114" t="str">
        <f t="shared" ca="1" si="33"/>
        <v>1+55.9702575856755i</v>
      </c>
      <c r="N114" t="str">
        <f t="shared" si="34"/>
        <v>1+0.140860482863235i</v>
      </c>
      <c r="O114">
        <f t="shared" ca="1" si="35"/>
        <v>30.873410267617786</v>
      </c>
      <c r="P114" t="str">
        <f t="shared" ca="1" si="50"/>
        <v>0.001665997665788-0.555054068546252i</v>
      </c>
      <c r="Q114">
        <f t="shared" ca="1" si="45"/>
        <v>-5.1132550668507459</v>
      </c>
      <c r="R114">
        <f t="shared" ca="1" si="51"/>
        <v>-89.828026937036029</v>
      </c>
      <c r="T114" t="str">
        <f t="shared" si="36"/>
        <v>1+2.236i</v>
      </c>
      <c r="U114" t="str">
        <f t="shared" si="37"/>
        <v>1+0.13i</v>
      </c>
      <c r="V114" t="str">
        <f t="shared" si="38"/>
        <v>-0.0335420393559928i</v>
      </c>
      <c r="W114" t="str">
        <f t="shared" si="46"/>
        <v>0.0694655668047211-0.0425725630406065i</v>
      </c>
      <c r="X114">
        <f t="shared" si="47"/>
        <v>-21.779700734071824</v>
      </c>
      <c r="Y114">
        <f t="shared" si="48"/>
        <v>-31.502403834357974</v>
      </c>
      <c r="Z114">
        <f t="shared" si="49"/>
        <v>2069.0142601946395</v>
      </c>
      <c r="AA114">
        <f t="shared" ca="1" si="39"/>
        <v>-20.254272617659598</v>
      </c>
      <c r="AB114">
        <f t="shared" ca="1" si="40"/>
        <v>-105.37067064414154</v>
      </c>
    </row>
    <row r="115" spans="1:28" x14ac:dyDescent="0.2">
      <c r="A115">
        <v>14000</v>
      </c>
      <c r="B115" t="str">
        <f t="shared" si="41"/>
        <v>14000i</v>
      </c>
      <c r="C115" t="str">
        <f t="shared" ca="1" si="27"/>
        <v>1+0.188361443797946i</v>
      </c>
      <c r="D115" t="str">
        <f t="shared" ca="1" si="28"/>
        <v>1+0.098888872023861i</v>
      </c>
      <c r="E115" t="str">
        <f t="shared" ca="1" si="29"/>
        <v>1+63.9906817280678i</v>
      </c>
      <c r="F115">
        <f t="shared" ca="1" si="30"/>
        <v>69.486139019499433</v>
      </c>
      <c r="G115" t="str">
        <f t="shared" ca="1" si="42"/>
        <v>0.328492116222583-1.06051908078958i</v>
      </c>
      <c r="H115">
        <f t="shared" ca="1" si="43"/>
        <v>0.90824908517205583</v>
      </c>
      <c r="I115">
        <f t="shared" ca="1" si="44"/>
        <v>-72.789813704413916</v>
      </c>
      <c r="K115" t="str">
        <f t="shared" ca="1" si="31"/>
        <v>1+0.188361443797946i</v>
      </c>
      <c r="L115" t="str">
        <f t="shared" ca="1" si="32"/>
        <v>1-0.0518172461403243i</v>
      </c>
      <c r="M115" t="str">
        <f t="shared" ca="1" si="33"/>
        <v>1+60.2756620153428i</v>
      </c>
      <c r="N115" t="str">
        <f t="shared" si="34"/>
        <v>1+0.151695904621946i</v>
      </c>
      <c r="O115">
        <f t="shared" ca="1" si="35"/>
        <v>30.873410267617786</v>
      </c>
      <c r="P115" t="str">
        <f t="shared" ca="1" si="50"/>
        <v>0.000232101773830101-0.515935785139042i</v>
      </c>
      <c r="Q115">
        <f t="shared" ca="1" si="45"/>
        <v>-5.7480860922253374</v>
      </c>
      <c r="R115">
        <f t="shared" ca="1" si="51"/>
        <v>-89.974224600146172</v>
      </c>
      <c r="T115" t="str">
        <f t="shared" si="36"/>
        <v>1+2.408i</v>
      </c>
      <c r="U115" t="str">
        <f t="shared" si="37"/>
        <v>1+0.14i</v>
      </c>
      <c r="V115" t="str">
        <f t="shared" si="38"/>
        <v>-0.0311461794019934i</v>
      </c>
      <c r="W115" t="str">
        <f t="shared" si="46"/>
        <v>0.069281615225305-0.0408456055335361i</v>
      </c>
      <c r="X115">
        <f t="shared" si="47"/>
        <v>-21.892094630197452</v>
      </c>
      <c r="Y115">
        <f t="shared" si="48"/>
        <v>-30.521861756196341</v>
      </c>
      <c r="Z115">
        <f t="shared" si="49"/>
        <v>2228.1692032865349</v>
      </c>
      <c r="AA115">
        <f t="shared" ca="1" si="39"/>
        <v>-20.983845545025396</v>
      </c>
      <c r="AB115">
        <f t="shared" ca="1" si="40"/>
        <v>-103.31167546061026</v>
      </c>
    </row>
    <row r="116" spans="1:28" x14ac:dyDescent="0.2">
      <c r="A116">
        <v>15000</v>
      </c>
      <c r="B116" t="str">
        <f t="shared" si="41"/>
        <v>15000i</v>
      </c>
      <c r="C116" t="str">
        <f t="shared" ca="1" si="27"/>
        <v>1+0.201815832640657i</v>
      </c>
      <c r="D116" t="str">
        <f t="shared" ca="1" si="28"/>
        <v>1+0.105952362882708i</v>
      </c>
      <c r="E116" t="str">
        <f t="shared" ca="1" si="29"/>
        <v>1+68.5614447086441i</v>
      </c>
      <c r="F116">
        <f t="shared" ca="1" si="30"/>
        <v>69.486139019499433</v>
      </c>
      <c r="G116" t="str">
        <f t="shared" ca="1" si="42"/>
        <v>0.326315760740464-0.987056367649451i</v>
      </c>
      <c r="H116">
        <f t="shared" ca="1" si="43"/>
        <v>0.3373016623213877</v>
      </c>
      <c r="I116">
        <f t="shared" ca="1" si="44"/>
        <v>-71.706379714761454</v>
      </c>
      <c r="K116" t="str">
        <f t="shared" ca="1" si="31"/>
        <v>1+0.201815832640657i</v>
      </c>
      <c r="L116" t="str">
        <f t="shared" ca="1" si="32"/>
        <v>1-0.0555184780074903i</v>
      </c>
      <c r="M116" t="str">
        <f t="shared" ca="1" si="33"/>
        <v>1+64.5810664450102i</v>
      </c>
      <c r="N116" t="str">
        <f t="shared" si="34"/>
        <v>1+0.162531326380656i</v>
      </c>
      <c r="O116">
        <f t="shared" ca="1" si="35"/>
        <v>30.873410267617786</v>
      </c>
      <c r="P116" t="str">
        <f t="shared" ca="1" si="50"/>
        <v>-0.000944767346222378-0.48206094158627i</v>
      </c>
      <c r="Q116">
        <f t="shared" ca="1" si="45"/>
        <v>-6.3379444244162855</v>
      </c>
      <c r="R116">
        <f t="shared" ca="1" si="51"/>
        <v>-90.11229101465085</v>
      </c>
      <c r="T116" t="str">
        <f t="shared" si="36"/>
        <v>1+2.58i</v>
      </c>
      <c r="U116" t="str">
        <f t="shared" si="37"/>
        <v>1+0.15i</v>
      </c>
      <c r="V116" t="str">
        <f t="shared" si="38"/>
        <v>-0.0290697674418605i</v>
      </c>
      <c r="W116" t="str">
        <f t="shared" si="46"/>
        <v>0.0690851196906807-0.0394325353954626i</v>
      </c>
      <c r="X116">
        <f t="shared" si="47"/>
        <v>-21.987555872345762</v>
      </c>
      <c r="Y116">
        <f t="shared" si="48"/>
        <v>-29.716942050347267</v>
      </c>
      <c r="Z116">
        <f t="shared" si="49"/>
        <v>2387.3241463784302</v>
      </c>
      <c r="AA116">
        <f t="shared" ca="1" si="39"/>
        <v>-21.650254210024375</v>
      </c>
      <c r="AB116">
        <f t="shared" ca="1" si="40"/>
        <v>-101.42332176510872</v>
      </c>
    </row>
    <row r="117" spans="1:28" x14ac:dyDescent="0.2">
      <c r="A117">
        <v>16000</v>
      </c>
      <c r="B117" t="str">
        <f t="shared" si="41"/>
        <v>16000i</v>
      </c>
      <c r="C117" t="str">
        <f t="shared" ca="1" si="27"/>
        <v>1+0.215270221483367i</v>
      </c>
      <c r="D117" t="str">
        <f t="shared" ca="1" si="28"/>
        <v>1+0.113015853741555i</v>
      </c>
      <c r="E117" t="str">
        <f t="shared" ca="1" si="29"/>
        <v>1+73.1322076892203i</v>
      </c>
      <c r="F117">
        <f t="shared" ca="1" si="30"/>
        <v>69.486139019499433</v>
      </c>
      <c r="G117" t="str">
        <f t="shared" ca="1" si="42"/>
        <v>0.324534471321681-0.922590497763719i</v>
      </c>
      <c r="H117">
        <f t="shared" ca="1" si="43"/>
        <v>-0.19316910092909373</v>
      </c>
      <c r="I117">
        <f t="shared" ca="1" si="44"/>
        <v>-70.61994427798551</v>
      </c>
      <c r="K117" t="str">
        <f t="shared" ca="1" si="31"/>
        <v>1+0.215270221483367i</v>
      </c>
      <c r="L117" t="str">
        <f t="shared" ca="1" si="32"/>
        <v>1-0.0592197098746563i</v>
      </c>
      <c r="M117" t="str">
        <f t="shared" ca="1" si="33"/>
        <v>1+68.8864708746775i</v>
      </c>
      <c r="N117" t="str">
        <f t="shared" si="34"/>
        <v>1+0.173366748139366i</v>
      </c>
      <c r="O117">
        <f t="shared" ca="1" si="35"/>
        <v>30.873410267617786</v>
      </c>
      <c r="P117" t="str">
        <f t="shared" ca="1" si="50"/>
        <v>-0.00192792738160067-0.452446695581511i</v>
      </c>
      <c r="Q117">
        <f t="shared" ca="1" si="45"/>
        <v>-6.8885727311107745</v>
      </c>
      <c r="R117">
        <f t="shared" ca="1" si="51"/>
        <v>-90.244142425400128</v>
      </c>
      <c r="T117" t="str">
        <f t="shared" si="36"/>
        <v>1+2.752i</v>
      </c>
      <c r="U117" t="str">
        <f t="shared" si="37"/>
        <v>1+0.16i</v>
      </c>
      <c r="V117" t="str">
        <f t="shared" si="38"/>
        <v>-0.0272529069767442i</v>
      </c>
      <c r="W117" t="str">
        <f t="shared" si="46"/>
        <v>0.0688763015636904-0.0382731152269347i</v>
      </c>
      <c r="X117">
        <f t="shared" si="47"/>
        <v>-22.069939897073247</v>
      </c>
      <c r="Y117">
        <f t="shared" si="48"/>
        <v>-29.060009077999549</v>
      </c>
      <c r="Z117">
        <f t="shared" si="49"/>
        <v>2546.4790894703256</v>
      </c>
      <c r="AA117">
        <f t="shared" ca="1" si="39"/>
        <v>-22.263108998002341</v>
      </c>
      <c r="AB117">
        <f t="shared" ca="1" si="40"/>
        <v>-99.679953355985063</v>
      </c>
    </row>
    <row r="118" spans="1:28" x14ac:dyDescent="0.2">
      <c r="A118">
        <v>17000</v>
      </c>
      <c r="B118" t="str">
        <f t="shared" si="41"/>
        <v>17000i</v>
      </c>
      <c r="C118" t="str">
        <f t="shared" ca="1" si="27"/>
        <v>1+0.228724610326078i</v>
      </c>
      <c r="D118" t="str">
        <f t="shared" ca="1" si="28"/>
        <v>1+0.120079344600403i</v>
      </c>
      <c r="E118" t="str">
        <f t="shared" ca="1" si="29"/>
        <v>1+77.7029706697966i</v>
      </c>
      <c r="F118">
        <f t="shared" ca="1" si="30"/>
        <v>69.486139019499433</v>
      </c>
      <c r="G118" t="str">
        <f t="shared" ca="1" si="42"/>
        <v>0.323058112696313-0.865534952908745i</v>
      </c>
      <c r="H118">
        <f t="shared" ca="1" si="43"/>
        <v>-0.68787672282762213</v>
      </c>
      <c r="I118">
        <f t="shared" ca="1" si="44"/>
        <v>-69.53207434929881</v>
      </c>
      <c r="K118" t="str">
        <f t="shared" ca="1" si="31"/>
        <v>1+0.228724610326078i</v>
      </c>
      <c r="L118" t="str">
        <f t="shared" ca="1" si="32"/>
        <v>1-0.0629209417418223i</v>
      </c>
      <c r="M118" t="str">
        <f t="shared" ca="1" si="33"/>
        <v>1+73.1918753043448i</v>
      </c>
      <c r="N118" t="str">
        <f t="shared" si="34"/>
        <v>1+0.184202169898077i</v>
      </c>
      <c r="O118">
        <f t="shared" ca="1" si="35"/>
        <v>30.873410267617786</v>
      </c>
      <c r="P118" t="str">
        <f t="shared" ca="1" si="50"/>
        <v>-0.00276261136222392-0.426341185390987i</v>
      </c>
      <c r="Q118">
        <f t="shared" ca="1" si="45"/>
        <v>-7.4046718849632862</v>
      </c>
      <c r="R118">
        <f t="shared" ca="1" si="51"/>
        <v>-90.371260768605836</v>
      </c>
      <c r="T118" t="str">
        <f t="shared" si="36"/>
        <v>1+2.924i</v>
      </c>
      <c r="U118" t="str">
        <f t="shared" si="37"/>
        <v>1+0.17i</v>
      </c>
      <c r="V118" t="str">
        <f t="shared" si="38"/>
        <v>-0.0256497948016416i</v>
      </c>
      <c r="W118" t="str">
        <f t="shared" si="46"/>
        <v>0.0686553939972018-0.0373212117811659i</v>
      </c>
      <c r="X118">
        <f t="shared" si="47"/>
        <v>-22.142121921395397</v>
      </c>
      <c r="Y118">
        <f t="shared" si="48"/>
        <v>-28.528592936613062</v>
      </c>
      <c r="Z118">
        <f t="shared" si="49"/>
        <v>2705.6340325622209</v>
      </c>
      <c r="AA118">
        <f t="shared" ca="1" si="39"/>
        <v>-22.829998644223018</v>
      </c>
      <c r="AB118">
        <f t="shared" ca="1" si="40"/>
        <v>-98.060667285911876</v>
      </c>
    </row>
    <row r="119" spans="1:28" x14ac:dyDescent="0.2">
      <c r="A119">
        <v>18000</v>
      </c>
      <c r="B119" t="str">
        <f t="shared" si="41"/>
        <v>18000i</v>
      </c>
      <c r="C119" t="str">
        <f t="shared" ca="1" si="27"/>
        <v>1+0.242178999168788i</v>
      </c>
      <c r="D119" t="str">
        <f t="shared" ca="1" si="28"/>
        <v>1+0.12714283545925i</v>
      </c>
      <c r="E119" t="str">
        <f t="shared" ca="1" si="29"/>
        <v>1+82.2737336503729i</v>
      </c>
      <c r="F119">
        <f t="shared" ca="1" si="30"/>
        <v>69.486139019499433</v>
      </c>
      <c r="G119" t="str">
        <f t="shared" ca="1" si="42"/>
        <v>0.321820861265231-0.814655478968799i</v>
      </c>
      <c r="H119">
        <f t="shared" ca="1" si="43"/>
        <v>-1.1507316938471568</v>
      </c>
      <c r="I119">
        <f t="shared" ca="1" si="44"/>
        <v>-68.444036480497672</v>
      </c>
      <c r="K119" t="str">
        <f t="shared" ca="1" si="31"/>
        <v>1+0.242178999168788i</v>
      </c>
      <c r="L119" t="str">
        <f t="shared" ca="1" si="32"/>
        <v>1-0.0666221736089883i</v>
      </c>
      <c r="M119" t="str">
        <f t="shared" ca="1" si="33"/>
        <v>1+77.4972797340122i</v>
      </c>
      <c r="N119" t="str">
        <f t="shared" si="34"/>
        <v>1+0.195037591656787i</v>
      </c>
      <c r="O119">
        <f t="shared" ca="1" si="35"/>
        <v>30.873410267617786</v>
      </c>
      <c r="P119" t="str">
        <f t="shared" ca="1" si="50"/>
        <v>-0.0034818169428097-0.403159445849003i</v>
      </c>
      <c r="Q119">
        <f t="shared" ca="1" si="45"/>
        <v>-7.8901392968700836</v>
      </c>
      <c r="R119">
        <f t="shared" ca="1" si="51"/>
        <v>-90.494812805009985</v>
      </c>
      <c r="T119" t="str">
        <f t="shared" si="36"/>
        <v>1+3.096i</v>
      </c>
      <c r="U119" t="str">
        <f t="shared" si="37"/>
        <v>1+0.18i</v>
      </c>
      <c r="V119" t="str">
        <f t="shared" si="38"/>
        <v>-0.0242248062015504i</v>
      </c>
      <c r="W119" t="str">
        <f t="shared" si="46"/>
        <v>0.0684226413054251-0.0365408816365269i</v>
      </c>
      <c r="X119">
        <f t="shared" si="47"/>
        <v>-22.206276485297725</v>
      </c>
      <c r="Y119">
        <f t="shared" si="48"/>
        <v>-28.104296261859368</v>
      </c>
      <c r="Z119">
        <f t="shared" si="49"/>
        <v>2864.7889756541163</v>
      </c>
      <c r="AA119">
        <f t="shared" ca="1" si="39"/>
        <v>-23.357008179144881</v>
      </c>
      <c r="AB119">
        <f t="shared" ca="1" si="40"/>
        <v>-96.548332742357047</v>
      </c>
    </row>
    <row r="120" spans="1:28" x14ac:dyDescent="0.2">
      <c r="A120">
        <v>19000</v>
      </c>
      <c r="B120" t="str">
        <f t="shared" si="41"/>
        <v>19000i</v>
      </c>
      <c r="C120" t="str">
        <f t="shared" ca="1" si="27"/>
        <v>1+0.255633388011499i</v>
      </c>
      <c r="D120" t="str">
        <f t="shared" ca="1" si="28"/>
        <v>1+0.134206326318097i</v>
      </c>
      <c r="E120" t="str">
        <f t="shared" ca="1" si="29"/>
        <v>1+86.8444966309492i</v>
      </c>
      <c r="F120">
        <f t="shared" ca="1" si="30"/>
        <v>69.486139019499433</v>
      </c>
      <c r="G120" t="str">
        <f t="shared" ca="1" si="42"/>
        <v>0.320773740844107-0.768977470804687i</v>
      </c>
      <c r="H120">
        <f t="shared" ca="1" si="43"/>
        <v>-1.5850153786732712</v>
      </c>
      <c r="I120">
        <f t="shared" ca="1" si="44"/>
        <v>-67.356873457775009</v>
      </c>
      <c r="K120" t="str">
        <f t="shared" ca="1" si="31"/>
        <v>1+0.255633388011499i</v>
      </c>
      <c r="L120" t="str">
        <f t="shared" ca="1" si="32"/>
        <v>1-0.0703234054761544i</v>
      </c>
      <c r="M120" t="str">
        <f t="shared" ca="1" si="33"/>
        <v>1+81.8026841636795i</v>
      </c>
      <c r="N120" t="str">
        <f t="shared" si="34"/>
        <v>1+0.205873013415498i</v>
      </c>
      <c r="O120">
        <f t="shared" ca="1" si="35"/>
        <v>30.873410267617786</v>
      </c>
      <c r="P120" t="str">
        <f t="shared" ca="1" si="50"/>
        <v>-0.0041100615866964-0.382439535854458i</v>
      </c>
      <c r="Q120">
        <f t="shared" ca="1" si="45"/>
        <v>-8.348242782561929</v>
      </c>
      <c r="R120">
        <f t="shared" ca="1" si="51"/>
        <v>-90.615731625268424</v>
      </c>
      <c r="T120" t="str">
        <f t="shared" si="36"/>
        <v>1+3.268i</v>
      </c>
      <c r="U120" t="str">
        <f t="shared" si="37"/>
        <v>1+0.19i</v>
      </c>
      <c r="V120" t="str">
        <f t="shared" si="38"/>
        <v>-0.0229498164014688i</v>
      </c>
      <c r="W120" t="str">
        <f t="shared" si="46"/>
        <v>0.0681782983145651-0.0359036930812362i</v>
      </c>
      <c r="X120">
        <f t="shared" si="47"/>
        <v>-22.264069440766558</v>
      </c>
      <c r="Y120">
        <f t="shared" si="48"/>
        <v>-27.77194954625848</v>
      </c>
      <c r="Z120">
        <f t="shared" si="49"/>
        <v>3023.9439187460116</v>
      </c>
      <c r="AA120">
        <f t="shared" ca="1" si="39"/>
        <v>-23.849084819439831</v>
      </c>
      <c r="AB120">
        <f t="shared" ca="1" si="40"/>
        <v>-95.128823004033492</v>
      </c>
    </row>
    <row r="121" spans="1:28" x14ac:dyDescent="0.2">
      <c r="A121">
        <v>20000</v>
      </c>
      <c r="B121" t="str">
        <f t="shared" si="41"/>
        <v>20000i</v>
      </c>
      <c r="C121" t="str">
        <f t="shared" ca="1" si="27"/>
        <v>1+0.269087776854209i</v>
      </c>
      <c r="D121" t="str">
        <f t="shared" ca="1" si="28"/>
        <v>1+0.141269817176944i</v>
      </c>
      <c r="E121" t="str">
        <f t="shared" ca="1" si="29"/>
        <v>1+91.4152596115254i</v>
      </c>
      <c r="F121">
        <f t="shared" ca="1" si="30"/>
        <v>69.486139019499433</v>
      </c>
      <c r="G121" t="str">
        <f t="shared" ca="1" si="42"/>
        <v>0.319879701317546-0.727721113844682i</v>
      </c>
      <c r="H121">
        <f t="shared" ca="1" si="43"/>
        <v>-1.9935092790270379</v>
      </c>
      <c r="I121">
        <f t="shared" ca="1" si="44"/>
        <v>-66.271457910381386</v>
      </c>
      <c r="K121" t="str">
        <f t="shared" ca="1" si="31"/>
        <v>1+0.269087776854209i</v>
      </c>
      <c r="L121" t="str">
        <f t="shared" ca="1" si="32"/>
        <v>1-0.0740246373433204i</v>
      </c>
      <c r="M121" t="str">
        <f t="shared" ca="1" si="33"/>
        <v>1+86.1080885933469i</v>
      </c>
      <c r="N121" t="str">
        <f t="shared" si="34"/>
        <v>1+0.216708435174208i</v>
      </c>
      <c r="O121">
        <f t="shared" ca="1" si="35"/>
        <v>30.873410267617786</v>
      </c>
      <c r="P121" t="str">
        <f t="shared" ca="1" si="50"/>
        <v>-0.00466585863024203-0.363811812798724i</v>
      </c>
      <c r="Q121">
        <f t="shared" ca="1" si="45"/>
        <v>-8.7817498111080674</v>
      </c>
      <c r="R121">
        <f t="shared" ca="1" si="51"/>
        <v>-90.734773700156396</v>
      </c>
      <c r="T121" t="str">
        <f t="shared" si="36"/>
        <v>1+3.44i</v>
      </c>
      <c r="U121" t="str">
        <f t="shared" si="37"/>
        <v>1+0.2i</v>
      </c>
      <c r="V121" t="str">
        <f t="shared" si="38"/>
        <v>-0.0218023255813954i</v>
      </c>
      <c r="W121" t="str">
        <f t="shared" si="46"/>
        <v>0.0679226296958857-0.0353868515205725i</v>
      </c>
      <c r="X121">
        <f t="shared" si="47"/>
        <v>-22.316791986624352</v>
      </c>
      <c r="Y121">
        <f t="shared" si="48"/>
        <v>-27.518957401828157</v>
      </c>
      <c r="Z121">
        <f t="shared" si="49"/>
        <v>3183.098861837907</v>
      </c>
      <c r="AA121">
        <f t="shared" ca="1" si="39"/>
        <v>-24.31030126565139</v>
      </c>
      <c r="AB121">
        <f t="shared" ca="1" si="40"/>
        <v>-93.790415312209547</v>
      </c>
    </row>
    <row r="122" spans="1:28" x14ac:dyDescent="0.2">
      <c r="A122">
        <v>21000</v>
      </c>
      <c r="B122" t="str">
        <f t="shared" si="41"/>
        <v>21000i</v>
      </c>
      <c r="C122" t="str">
        <f t="shared" ca="1" si="27"/>
        <v>1+0.282542165696919i</v>
      </c>
      <c r="D122" t="str">
        <f t="shared" ca="1" si="28"/>
        <v>1+0.148333308035791i</v>
      </c>
      <c r="E122" t="str">
        <f t="shared" ca="1" si="29"/>
        <v>1+95.9860225921017i</v>
      </c>
      <c r="F122">
        <f t="shared" ca="1" si="30"/>
        <v>69.486139019499433</v>
      </c>
      <c r="G122" t="str">
        <f t="shared" ca="1" si="42"/>
        <v>0.319110296277608-0.690255039990953i</v>
      </c>
      <c r="H122">
        <f t="shared" ca="1" si="43"/>
        <v>-2.3785927315330562</v>
      </c>
      <c r="I122">
        <f t="shared" ca="1" si="44"/>
        <v>-65.188530575230857</v>
      </c>
      <c r="K122" t="str">
        <f t="shared" ca="1" si="31"/>
        <v>1+0.282542165696919i</v>
      </c>
      <c r="L122" t="str">
        <f t="shared" ca="1" si="32"/>
        <v>1-0.0777258692104864i</v>
      </c>
      <c r="M122" t="str">
        <f t="shared" ca="1" si="33"/>
        <v>1+90.4134930230142i</v>
      </c>
      <c r="N122" t="str">
        <f t="shared" si="34"/>
        <v>1+0.227543856932918i</v>
      </c>
      <c r="O122">
        <f t="shared" ca="1" si="35"/>
        <v>30.873410267617786</v>
      </c>
      <c r="P122" t="str">
        <f t="shared" ca="1" si="50"/>
        <v>-0.00516338901320832-0.346976976857261i</v>
      </c>
      <c r="Q122">
        <f t="shared" ca="1" si="45"/>
        <v>-9.1930252019148249</v>
      </c>
      <c r="R122">
        <f t="shared" ca="1" si="51"/>
        <v>-90.852559632160464</v>
      </c>
      <c r="T122" t="str">
        <f t="shared" si="36"/>
        <v>1+3.612i</v>
      </c>
      <c r="U122" t="str">
        <f t="shared" si="37"/>
        <v>1+0.21i</v>
      </c>
      <c r="V122" t="str">
        <f t="shared" si="38"/>
        <v>-0.0207641196013289i</v>
      </c>
      <c r="W122" t="str">
        <f t="shared" si="46"/>
        <v>0.067655909284284-0.0349718605510285i</v>
      </c>
      <c r="X122">
        <f t="shared" si="47"/>
        <v>-22.365455683309321</v>
      </c>
      <c r="Y122">
        <f t="shared" si="48"/>
        <v>-27.334790684297371</v>
      </c>
      <c r="Z122">
        <f t="shared" si="49"/>
        <v>3342.2538049298023</v>
      </c>
      <c r="AA122">
        <f t="shared" ca="1" si="39"/>
        <v>-24.744048414842378</v>
      </c>
      <c r="AB122">
        <f t="shared" ca="1" si="40"/>
        <v>-92.523321259528231</v>
      </c>
    </row>
    <row r="123" spans="1:28" x14ac:dyDescent="0.2">
      <c r="A123">
        <v>22000</v>
      </c>
      <c r="B123" t="str">
        <f t="shared" si="41"/>
        <v>22000i</v>
      </c>
      <c r="C123" t="str">
        <f t="shared" ca="1" si="27"/>
        <v>1+0.29599655453963i</v>
      </c>
      <c r="D123" t="str">
        <f t="shared" ca="1" si="28"/>
        <v>1+0.155396798894639i</v>
      </c>
      <c r="E123" t="str">
        <f t="shared" ca="1" si="29"/>
        <v>1+100.556785572678i</v>
      </c>
      <c r="F123">
        <f t="shared" ca="1" si="30"/>
        <v>69.486139019499433</v>
      </c>
      <c r="G123" t="str">
        <f t="shared" ca="1" si="42"/>
        <v>0.318443392351999-0.656062612564472i</v>
      </c>
      <c r="H123">
        <f t="shared" ca="1" si="43"/>
        <v>-2.742317855124031</v>
      </c>
      <c r="I123">
        <f t="shared" ca="1" si="44"/>
        <v>-64.108728108738774</v>
      </c>
      <c r="K123" t="str">
        <f t="shared" ca="1" si="31"/>
        <v>1+0.29599655453963i</v>
      </c>
      <c r="L123" t="str">
        <f t="shared" ca="1" si="32"/>
        <v>1-0.0814271010776524i</v>
      </c>
      <c r="M123" t="str">
        <f t="shared" ca="1" si="33"/>
        <v>1+94.7188974526815i</v>
      </c>
      <c r="N123" t="str">
        <f t="shared" si="34"/>
        <v>1+0.238379278691629i</v>
      </c>
      <c r="O123">
        <f t="shared" ca="1" si="35"/>
        <v>30.873410267617786</v>
      </c>
      <c r="P123" t="str">
        <f t="shared" ca="1" si="50"/>
        <v>-0.00561365402770944-0.331690097738417i</v>
      </c>
      <c r="Q123">
        <f t="shared" ca="1" si="45"/>
        <v>-9.58410608008802</v>
      </c>
      <c r="R123">
        <f t="shared" ca="1" si="51"/>
        <v>-90.969603799947691</v>
      </c>
      <c r="T123" t="str">
        <f t="shared" si="36"/>
        <v>1+3.784i</v>
      </c>
      <c r="U123" t="str">
        <f t="shared" si="37"/>
        <v>1+0.22i</v>
      </c>
      <c r="V123" t="str">
        <f t="shared" si="38"/>
        <v>-0.0198202959830867i</v>
      </c>
      <c r="W123" t="str">
        <f t="shared" si="46"/>
        <v>0.0673784193854645-0.0346435482478889i</v>
      </c>
      <c r="X123">
        <f t="shared" si="47"/>
        <v>-22.410860773112908</v>
      </c>
      <c r="Y123">
        <f t="shared" si="48"/>
        <v>-27.210589935283789</v>
      </c>
      <c r="Z123">
        <f t="shared" si="49"/>
        <v>3501.4087480216976</v>
      </c>
      <c r="AA123">
        <f t="shared" ca="1" si="39"/>
        <v>-25.15317862823694</v>
      </c>
      <c r="AB123">
        <f t="shared" ca="1" si="40"/>
        <v>-91.319318044022566</v>
      </c>
    </row>
    <row r="124" spans="1:28" x14ac:dyDescent="0.2">
      <c r="A124">
        <v>23000</v>
      </c>
      <c r="B124" t="str">
        <f t="shared" si="41"/>
        <v>23000i</v>
      </c>
      <c r="C124" t="str">
        <f t="shared" ca="1" si="27"/>
        <v>1+0.30945094338234i</v>
      </c>
      <c r="D124" t="str">
        <f t="shared" ca="1" si="28"/>
        <v>1+0.162460289753486i</v>
      </c>
      <c r="E124" t="str">
        <f t="shared" ca="1" si="29"/>
        <v>1+105.127548553254i</v>
      </c>
      <c r="F124">
        <f t="shared" ca="1" si="30"/>
        <v>69.486139019499433</v>
      </c>
      <c r="G124" t="str">
        <f t="shared" ca="1" si="42"/>
        <v>0.317861559699685-0.624717000002249i</v>
      </c>
      <c r="H124">
        <f t="shared" ca="1" si="43"/>
        <v>-3.0864678184761156</v>
      </c>
      <c r="I124">
        <f t="shared" ca="1" si="44"/>
        <v>-63.032603636088204</v>
      </c>
      <c r="K124" t="str">
        <f t="shared" ca="1" si="31"/>
        <v>1+0.30945094338234i</v>
      </c>
      <c r="L124" t="str">
        <f t="shared" ca="1" si="32"/>
        <v>1-0.0851283329448184i</v>
      </c>
      <c r="M124" t="str">
        <f t="shared" ca="1" si="33"/>
        <v>1+99.0243018823489i</v>
      </c>
      <c r="N124" t="str">
        <f t="shared" si="34"/>
        <v>1+0.249214700450339i</v>
      </c>
      <c r="O124">
        <f t="shared" ca="1" si="35"/>
        <v>30.873410267617786</v>
      </c>
      <c r="P124" t="str">
        <f t="shared" ca="1" si="50"/>
        <v>-0.00602528540486015-0.317748804914725i</v>
      </c>
      <c r="Q124">
        <f t="shared" ca="1" si="45"/>
        <v>-9.9567601577590317</v>
      </c>
      <c r="R124">
        <f t="shared" ca="1" si="51"/>
        <v>-91.086336281808741</v>
      </c>
      <c r="T124" t="str">
        <f t="shared" si="36"/>
        <v>1+3.956i</v>
      </c>
      <c r="U124" t="str">
        <f t="shared" si="37"/>
        <v>1+0.23i</v>
      </c>
      <c r="V124" t="str">
        <f t="shared" si="38"/>
        <v>-0.018958543983822i</v>
      </c>
      <c r="W124" t="str">
        <f t="shared" si="46"/>
        <v>0.0670904500747656-0.0343893475010181i</v>
      </c>
      <c r="X124">
        <f t="shared" si="47"/>
        <v>-22.453645962743643</v>
      </c>
      <c r="Y124">
        <f t="shared" si="48"/>
        <v>-27.138853948420977</v>
      </c>
      <c r="Z124">
        <f t="shared" si="49"/>
        <v>3660.563691113593</v>
      </c>
      <c r="AA124">
        <f t="shared" ca="1" si="39"/>
        <v>-25.540113781219759</v>
      </c>
      <c r="AB124">
        <f t="shared" ca="1" si="40"/>
        <v>-90.171457584509184</v>
      </c>
    </row>
    <row r="125" spans="1:28" x14ac:dyDescent="0.2">
      <c r="A125">
        <v>24000</v>
      </c>
      <c r="B125" t="str">
        <f t="shared" si="41"/>
        <v>24000i</v>
      </c>
      <c r="C125" t="str">
        <f t="shared" ca="1" si="27"/>
        <v>1+0.322905332225051i</v>
      </c>
      <c r="D125" t="str">
        <f t="shared" ca="1" si="28"/>
        <v>1+0.169523780612333i</v>
      </c>
      <c r="E125" t="str">
        <f t="shared" ca="1" si="29"/>
        <v>1+109.698311533831i</v>
      </c>
      <c r="F125">
        <f t="shared" ca="1" si="30"/>
        <v>69.486139019499433</v>
      </c>
      <c r="G125" t="str">
        <f t="shared" ca="1" si="42"/>
        <v>0.317350921650928-0.595862476944726i</v>
      </c>
      <c r="H125">
        <f t="shared" ca="1" si="43"/>
        <v>-3.4126026887431844</v>
      </c>
      <c r="I125">
        <f t="shared" ca="1" si="44"/>
        <v>-61.960642164659674</v>
      </c>
      <c r="K125" t="str">
        <f t="shared" ca="1" si="31"/>
        <v>1+0.322905332225051i</v>
      </c>
      <c r="L125" t="str">
        <f t="shared" ca="1" si="32"/>
        <v>1-0.0888295648119845i</v>
      </c>
      <c r="M125" t="str">
        <f t="shared" ca="1" si="33"/>
        <v>1+103.329706312016i</v>
      </c>
      <c r="N125" t="str">
        <f t="shared" si="34"/>
        <v>1+0.26005012220905i</v>
      </c>
      <c r="O125">
        <f t="shared" ca="1" si="35"/>
        <v>30.873410267617786</v>
      </c>
      <c r="P125" t="str">
        <f t="shared" ca="1" si="50"/>
        <v>-0.00640512442284476-0.304984428061511i</v>
      </c>
      <c r="Q125">
        <f t="shared" ca="1" si="45"/>
        <v>-10.312531600775671</v>
      </c>
      <c r="R125">
        <f t="shared" ca="1" si="51"/>
        <v>-91.203119315489062</v>
      </c>
      <c r="T125" t="str">
        <f t="shared" si="36"/>
        <v>1+4.128i</v>
      </c>
      <c r="U125" t="str">
        <f t="shared" si="37"/>
        <v>1+0.24i</v>
      </c>
      <c r="V125" t="str">
        <f t="shared" si="38"/>
        <v>-0.0181686046511628i</v>
      </c>
      <c r="W125" t="str">
        <f t="shared" si="46"/>
        <v>0.066792298490659-0.0341987562889209i</v>
      </c>
      <c r="X125">
        <f t="shared" si="47"/>
        <v>-22.494325150831152</v>
      </c>
      <c r="Y125">
        <f t="shared" si="48"/>
        <v>-27.11319367558011</v>
      </c>
      <c r="Z125">
        <f t="shared" si="49"/>
        <v>3819.7186342054883</v>
      </c>
      <c r="AA125">
        <f t="shared" ca="1" si="39"/>
        <v>-25.906927839574337</v>
      </c>
      <c r="AB125">
        <f t="shared" ca="1" si="40"/>
        <v>-89.073835840239781</v>
      </c>
    </row>
    <row r="126" spans="1:28" x14ac:dyDescent="0.2">
      <c r="A126">
        <v>25000</v>
      </c>
      <c r="B126" t="str">
        <f t="shared" si="41"/>
        <v>25000i</v>
      </c>
      <c r="C126" t="str">
        <f t="shared" ca="1" si="27"/>
        <v>1+0.336359721067761i</v>
      </c>
      <c r="D126" t="str">
        <f t="shared" ca="1" si="28"/>
        <v>1+0.17658727147118i</v>
      </c>
      <c r="E126" t="str">
        <f t="shared" ca="1" si="29"/>
        <v>1+114.269074514407i</v>
      </c>
      <c r="F126">
        <f t="shared" ca="1" si="30"/>
        <v>69.486139019499433</v>
      </c>
      <c r="G126" t="str">
        <f t="shared" ca="1" si="42"/>
        <v>0.316900319683013-0.569200210302642i</v>
      </c>
      <c r="H126">
        <f t="shared" ca="1" si="43"/>
        <v>-3.7220959047661397</v>
      </c>
      <c r="I126">
        <f t="shared" ca="1" si="44"/>
        <v>-60.893272307564757</v>
      </c>
      <c r="K126" t="str">
        <f t="shared" ca="1" si="31"/>
        <v>1+0.336359721067761i</v>
      </c>
      <c r="L126" t="str">
        <f t="shared" ca="1" si="32"/>
        <v>1-0.0925307966791505i</v>
      </c>
      <c r="M126" t="str">
        <f t="shared" ca="1" si="33"/>
        <v>1+107.635110741684i</v>
      </c>
      <c r="N126" t="str">
        <f t="shared" si="34"/>
        <v>1+0.27088554396776i</v>
      </c>
      <c r="O126">
        <f t="shared" ca="1" si="35"/>
        <v>30.873410267617786</v>
      </c>
      <c r="P126" t="str">
        <f t="shared" ca="1" si="50"/>
        <v>-0.00675864237713184-0.293255262310447i</v>
      </c>
      <c r="Q126">
        <f t="shared" ca="1" si="45"/>
        <v>-10.652777522692059</v>
      </c>
      <c r="R126">
        <f t="shared" ca="1" si="51"/>
        <v>-91.320259829277347</v>
      </c>
      <c r="T126" t="str">
        <f t="shared" si="36"/>
        <v>1+4.3i</v>
      </c>
      <c r="U126" t="str">
        <f t="shared" si="37"/>
        <v>1+0.25i</v>
      </c>
      <c r="V126" t="str">
        <f t="shared" si="38"/>
        <v>-0.0174418604651163i</v>
      </c>
      <c r="W126" t="str">
        <f t="shared" si="46"/>
        <v>0.0664842681258551-0.0340629274965801i</v>
      </c>
      <c r="X126">
        <f t="shared" si="47"/>
        <v>-22.533314839804991</v>
      </c>
      <c r="Y126">
        <f t="shared" si="48"/>
        <v>-27.128136532273341</v>
      </c>
      <c r="Z126">
        <f t="shared" si="49"/>
        <v>3978.8735772973837</v>
      </c>
      <c r="AA126">
        <f t="shared" ca="1" si="39"/>
        <v>-26.25541074457113</v>
      </c>
      <c r="AB126">
        <f t="shared" ca="1" si="40"/>
        <v>-88.021408839838102</v>
      </c>
    </row>
    <row r="127" spans="1:28" x14ac:dyDescent="0.2">
      <c r="A127">
        <v>26000</v>
      </c>
      <c r="B127" t="str">
        <f t="shared" si="41"/>
        <v>26000i</v>
      </c>
      <c r="C127" t="str">
        <f t="shared" ca="1" si="27"/>
        <v>1+0.349814109910472i</v>
      </c>
      <c r="D127" t="str">
        <f t="shared" ca="1" si="28"/>
        <v>1+0.183650762330028i</v>
      </c>
      <c r="E127" t="str">
        <f t="shared" ca="1" si="29"/>
        <v>1+118.839837494983i</v>
      </c>
      <c r="F127">
        <f t="shared" ca="1" si="30"/>
        <v>69.486139019499433</v>
      </c>
      <c r="G127" t="str">
        <f t="shared" ca="1" si="42"/>
        <v>0.316500698679594-0.544477323608636i</v>
      </c>
      <c r="H127">
        <f t="shared" ca="1" si="43"/>
        <v>-4.0161635822049471</v>
      </c>
      <c r="I127">
        <f t="shared" ca="1" si="44"/>
        <v>-59.830875317973756</v>
      </c>
      <c r="K127" t="str">
        <f t="shared" ca="1" si="31"/>
        <v>1+0.349814109910472i</v>
      </c>
      <c r="L127" t="str">
        <f t="shared" ca="1" si="32"/>
        <v>1-0.0962320285463165i</v>
      </c>
      <c r="M127" t="str">
        <f t="shared" ca="1" si="33"/>
        <v>1+111.940515171351i</v>
      </c>
      <c r="N127" t="str">
        <f t="shared" si="34"/>
        <v>1+0.28172096572647i</v>
      </c>
      <c r="O127">
        <f t="shared" ca="1" si="35"/>
        <v>30.873410267617786</v>
      </c>
      <c r="P127" t="str">
        <f t="shared" ca="1" si="50"/>
        <v>-0.00709025022761777-0.282441386673767i</v>
      </c>
      <c r="Q127">
        <f t="shared" ca="1" si="45"/>
        <v>-10.978697312650944</v>
      </c>
      <c r="R127">
        <f t="shared" ca="1" si="51"/>
        <v>-91.438019106676478</v>
      </c>
      <c r="T127" t="str">
        <f t="shared" si="36"/>
        <v>1+4.472i</v>
      </c>
      <c r="U127" t="str">
        <f t="shared" si="37"/>
        <v>1+0.26i</v>
      </c>
      <c r="V127" t="str">
        <f t="shared" si="38"/>
        <v>-0.0167710196779964i</v>
      </c>
      <c r="W127" t="str">
        <f t="shared" si="46"/>
        <v>0.0661666681188842-0.0339743533889063i</v>
      </c>
      <c r="X127">
        <f t="shared" si="47"/>
        <v>-22.570954818015711</v>
      </c>
      <c r="Y127">
        <f t="shared" si="48"/>
        <v>-27.178969792761666</v>
      </c>
      <c r="Z127">
        <f t="shared" si="49"/>
        <v>4138.028520389279</v>
      </c>
      <c r="AA127">
        <f t="shared" ca="1" si="39"/>
        <v>-26.587118400220657</v>
      </c>
      <c r="AB127">
        <f t="shared" ca="1" si="40"/>
        <v>-87.009845110735426</v>
      </c>
    </row>
    <row r="128" spans="1:28" x14ac:dyDescent="0.2">
      <c r="A128">
        <v>27000</v>
      </c>
      <c r="B128" t="str">
        <f t="shared" si="41"/>
        <v>27000i</v>
      </c>
      <c r="C128" t="str">
        <f t="shared" ca="1" si="27"/>
        <v>1+0.363268498753182i</v>
      </c>
      <c r="D128" t="str">
        <f t="shared" ca="1" si="28"/>
        <v>1+0.190714253188875i</v>
      </c>
      <c r="E128" t="str">
        <f t="shared" ca="1" si="29"/>
        <v>1+123.410600475559i</v>
      </c>
      <c r="F128">
        <f t="shared" ca="1" si="30"/>
        <v>69.486139019499433</v>
      </c>
      <c r="G128" t="str">
        <f t="shared" ca="1" si="42"/>
        <v>0.316144648480372-0.521478390246578i</v>
      </c>
      <c r="H128">
        <f t="shared" ca="1" si="43"/>
        <v>-4.2958882747301379</v>
      </c>
      <c r="I128">
        <f t="shared" ca="1" si="44"/>
        <v>-58.773792138021932</v>
      </c>
      <c r="K128" t="str">
        <f t="shared" ca="1" si="31"/>
        <v>1+0.363268498753182i</v>
      </c>
      <c r="L128" t="str">
        <f t="shared" ca="1" si="32"/>
        <v>1-0.0999332604134825i</v>
      </c>
      <c r="M128" t="str">
        <f t="shared" ca="1" si="33"/>
        <v>1+116.245919601018i</v>
      </c>
      <c r="N128" t="str">
        <f t="shared" si="34"/>
        <v>1+0.292556387485181i</v>
      </c>
      <c r="O128">
        <f t="shared" ca="1" si="35"/>
        <v>30.873410267617786</v>
      </c>
      <c r="P128" t="str">
        <f t="shared" ca="1" si="50"/>
        <v>-0.00740352961381981-0.272440633236725i</v>
      </c>
      <c r="Q128">
        <f t="shared" ca="1" si="45"/>
        <v>-11.291356420698172</v>
      </c>
      <c r="R128">
        <f t="shared" ca="1" si="51"/>
        <v>-91.556620331878676</v>
      </c>
      <c r="T128" t="str">
        <f t="shared" si="36"/>
        <v>1+4.644i</v>
      </c>
      <c r="U128" t="str">
        <f t="shared" si="37"/>
        <v>1+0.27i</v>
      </c>
      <c r="V128" t="str">
        <f t="shared" si="38"/>
        <v>-0.0161498708010336i</v>
      </c>
      <c r="W128" t="str">
        <f t="shared" si="46"/>
        <v>0.0658398125489057-0.0339266201892381i</v>
      </c>
      <c r="X128">
        <f t="shared" si="47"/>
        <v>-22.607523923605243</v>
      </c>
      <c r="Y128">
        <f t="shared" si="48"/>
        <v>-27.261614481591977</v>
      </c>
      <c r="Z128">
        <f t="shared" si="49"/>
        <v>4297.1834634811739</v>
      </c>
      <c r="AA128">
        <f t="shared" ca="1" si="39"/>
        <v>-26.903412198335381</v>
      </c>
      <c r="AB128">
        <f t="shared" ca="1" si="40"/>
        <v>-86.035406619613909</v>
      </c>
    </row>
    <row r="129" spans="1:28" x14ac:dyDescent="0.2">
      <c r="A129">
        <v>28000</v>
      </c>
      <c r="B129" t="str">
        <f t="shared" si="41"/>
        <v>28000i</v>
      </c>
      <c r="C129" t="str">
        <f t="shared" ca="1" si="27"/>
        <v>1+0.376722887595893i</v>
      </c>
      <c r="D129" t="str">
        <f t="shared" ca="1" si="28"/>
        <v>1+0.197777744047722i</v>
      </c>
      <c r="E129" t="str">
        <f t="shared" ca="1" si="29"/>
        <v>1+127.981363456136i</v>
      </c>
      <c r="F129">
        <f t="shared" ca="1" si="30"/>
        <v>69.486139019499433</v>
      </c>
      <c r="G129" t="str">
        <f t="shared" ca="1" si="42"/>
        <v>0.315826057906574-0.500018748681431i</v>
      </c>
      <c r="H129">
        <f t="shared" ca="1" si="43"/>
        <v>-4.5622384018716327</v>
      </c>
      <c r="I129">
        <f t="shared" ca="1" si="44"/>
        <v>-57.72232896455106</v>
      </c>
      <c r="K129" t="str">
        <f t="shared" ca="1" si="31"/>
        <v>1+0.376722887595893i</v>
      </c>
      <c r="L129" t="str">
        <f t="shared" ca="1" si="32"/>
        <v>1-0.103634492280649i</v>
      </c>
      <c r="M129" t="str">
        <f t="shared" ca="1" si="33"/>
        <v>1+120.551324030686i</v>
      </c>
      <c r="N129" t="str">
        <f t="shared" si="34"/>
        <v>1+0.303391809243891i</v>
      </c>
      <c r="O129">
        <f t="shared" ca="1" si="35"/>
        <v>30.873410267617786</v>
      </c>
      <c r="P129" t="str">
        <f t="shared" ca="1" si="50"/>
        <v>-0.00770140727841791-0.26316541960428i</v>
      </c>
      <c r="Q129">
        <f t="shared" ca="1" si="45"/>
        <v>-11.591705810684349</v>
      </c>
      <c r="R129">
        <f t="shared" ca="1" si="51"/>
        <v>-91.676254549407631</v>
      </c>
      <c r="T129" t="str">
        <f t="shared" si="36"/>
        <v>1+4.816i</v>
      </c>
      <c r="U129" t="str">
        <f t="shared" si="37"/>
        <v>1+0.28i</v>
      </c>
      <c r="V129" t="str">
        <f t="shared" si="38"/>
        <v>-0.0155730897009967i</v>
      </c>
      <c r="W129" t="str">
        <f t="shared" si="46"/>
        <v>0.0655040197363882-0.0339142152271854i</v>
      </c>
      <c r="X129">
        <f t="shared" si="47"/>
        <v>-22.643252174754839</v>
      </c>
      <c r="Y129">
        <f t="shared" si="48"/>
        <v>-27.372523201140179</v>
      </c>
      <c r="Z129">
        <f t="shared" si="49"/>
        <v>4456.3384065730697</v>
      </c>
      <c r="AA129">
        <f t="shared" ca="1" si="39"/>
        <v>-27.20549057662647</v>
      </c>
      <c r="AB129">
        <f t="shared" ca="1" si="40"/>
        <v>-85.094852165691236</v>
      </c>
    </row>
    <row r="130" spans="1:28" x14ac:dyDescent="0.2">
      <c r="A130">
        <v>29000</v>
      </c>
      <c r="B130" t="str">
        <f t="shared" si="41"/>
        <v>29000i</v>
      </c>
      <c r="C130" t="str">
        <f t="shared" ref="C130:C193" ca="1" si="52">IMSUM(1,IMDIV(B130,CcmWz1))</f>
        <v>1+0.390177276438603i</v>
      </c>
      <c r="D130" t="str">
        <f t="shared" ref="D130:D193" ca="1" si="53">IMSUM(1,IMDIV(B130,CcmWz2))</f>
        <v>1+0.204841234906569i</v>
      </c>
      <c r="E130" t="str">
        <f t="shared" ref="E130:E193" ca="1" si="54">IMSUM(1,IMDIV(B130,CcmWp1))</f>
        <v>1+132.552126436712i</v>
      </c>
      <c r="F130">
        <f t="shared" ref="F130:F193" ca="1" si="55">CcmGo</f>
        <v>69.486139019499433</v>
      </c>
      <c r="G130" t="str">
        <f t="shared" ca="1" si="42"/>
        <v>0.315539850796754-0.479939200126353i</v>
      </c>
      <c r="H130">
        <f t="shared" ca="1" si="43"/>
        <v>-4.8160842567044799</v>
      </c>
      <c r="I130">
        <f t="shared" ca="1" si="44"/>
        <v>-56.676761694935195</v>
      </c>
      <c r="K130" t="str">
        <f t="shared" ref="K130:K193" ca="1" si="56">IMSUM(1,IMDIV(B130,DcmWz1))</f>
        <v>1+0.390177276438603i</v>
      </c>
      <c r="L130" t="str">
        <f t="shared" ref="L130:L193" ca="1" si="57">IMSUB(1,IMDIV($B130,DcmWz2))</f>
        <v>1-0.107335724147815i</v>
      </c>
      <c r="M130" t="str">
        <f t="shared" ref="M130:M193" ca="1" si="58">IMSUM(1,IMDIV($B130,DcmWp1))</f>
        <v>1+124.856728460353i</v>
      </c>
      <c r="N130" t="str">
        <f t="shared" ref="N130:N193" si="59">IMSUM(1,IMDIV($B130,DcmWp2))</f>
        <v>1+0.314227231002602i</v>
      </c>
      <c r="O130">
        <f t="shared" ref="O130:O193" ca="1" si="60">DcmGo</f>
        <v>30.873410267617786</v>
      </c>
      <c r="P130" t="str">
        <f t="shared" ca="1" si="50"/>
        <v>-0.00798628822422014-0.254540236348569i</v>
      </c>
      <c r="Q130">
        <f t="shared" ca="1" si="45"/>
        <v>-11.88059799360915</v>
      </c>
      <c r="R130">
        <f t="shared" ca="1" si="51"/>
        <v>-91.797085423768777</v>
      </c>
      <c r="T130" t="str">
        <f t="shared" ref="T130:T193" si="61">IMSUM(1,IMPRODUCT($B130,1/CompWz1))</f>
        <v>1+4.988i</v>
      </c>
      <c r="U130" t="str">
        <f t="shared" ref="U130:U193" si="62">IMSUM(1,IMPRODUCT($B130,1/CompWp1))</f>
        <v>1+0.29i</v>
      </c>
      <c r="V130" t="str">
        <f t="shared" ref="V130:V193" si="63">IMDIV(CompA,$B130)</f>
        <v>-0.0150360866078589i</v>
      </c>
      <c r="W130" t="str">
        <f t="shared" si="46"/>
        <v>0.0651596115521826-0.0339323739579918i</v>
      </c>
      <c r="X130">
        <f t="shared" si="47"/>
        <v>-22.678330187845201</v>
      </c>
      <c r="Y130">
        <f t="shared" si="48"/>
        <v>-27.508596860084559</v>
      </c>
      <c r="Z130">
        <f t="shared" si="49"/>
        <v>4615.4933496649646</v>
      </c>
      <c r="AA130">
        <f t="shared" ref="AA130:AA193" ca="1" si="64">IF(IsDcmBode, X130+Q130,X130+H130)</f>
        <v>-27.494414444549683</v>
      </c>
      <c r="AB130">
        <f t="shared" ref="AB130:AB193" ca="1" si="65">IF(IsDcmBode, Y130+R130,Y130+I130)</f>
        <v>-84.185358555019747</v>
      </c>
    </row>
    <row r="131" spans="1:28" x14ac:dyDescent="0.2">
      <c r="A131">
        <v>30000</v>
      </c>
      <c r="B131" t="str">
        <f t="shared" ref="B131:B194" si="66">COMPLEX(0,A131)</f>
        <v>30000i</v>
      </c>
      <c r="C131" t="str">
        <f t="shared" ca="1" si="52"/>
        <v>1+0.403631665281313i</v>
      </c>
      <c r="D131" t="str">
        <f t="shared" ca="1" si="53"/>
        <v>1+0.211904725765416i</v>
      </c>
      <c r="E131" t="str">
        <f t="shared" ca="1" si="54"/>
        <v>1+137.122889417288i</v>
      </c>
      <c r="F131">
        <f t="shared" ca="1" si="55"/>
        <v>69.486139019499433</v>
      </c>
      <c r="G131" t="str">
        <f t="shared" ref="G131:G194" ca="1" si="67">IMDIV(IMPRODUCT(F131,C131,D131),E131)</f>
        <v>0.315281782565897-0.461101766234937i</v>
      </c>
      <c r="H131">
        <f t="shared" ref="H131:H194" ca="1" si="68">20*LOG(IMABS(G131),10)</f>
        <v>-5.058211289820572</v>
      </c>
      <c r="I131">
        <f t="shared" ref="I131:I194" ca="1" si="69">IMARGUMENT(G131)*180/PI()</f>
        <v>-55.637339518898628</v>
      </c>
      <c r="K131" t="str">
        <f t="shared" ca="1" si="56"/>
        <v>1+0.403631665281313i</v>
      </c>
      <c r="L131" t="str">
        <f t="shared" ca="1" si="57"/>
        <v>1-0.111036956014981i</v>
      </c>
      <c r="M131" t="str">
        <f t="shared" ca="1" si="58"/>
        <v>1+129.16213289002i</v>
      </c>
      <c r="N131" t="str">
        <f t="shared" si="59"/>
        <v>1+0.325062652761312i</v>
      </c>
      <c r="O131">
        <f t="shared" ca="1" si="60"/>
        <v>30.873410267617786</v>
      </c>
      <c r="P131" t="str">
        <f t="shared" ca="1" si="50"/>
        <v>-0.00826015841300007-0.246499636703436i</v>
      </c>
      <c r="Q131">
        <f t="shared" ref="Q131:Q194" ca="1" si="70">20*LOG(IMABS(P131),10)</f>
        <v>-12.158800337601965</v>
      </c>
      <c r="R131">
        <f t="shared" ca="1" si="51"/>
        <v>-91.919253081673816</v>
      </c>
      <c r="T131" t="str">
        <f t="shared" si="61"/>
        <v>1+5.16i</v>
      </c>
      <c r="U131" t="str">
        <f t="shared" si="62"/>
        <v>1+0.3i</v>
      </c>
      <c r="V131" t="str">
        <f t="shared" si="63"/>
        <v>-0.0145348837209302i</v>
      </c>
      <c r="W131" t="str">
        <f t="shared" ref="W131:W194" si="71">IMDIV(IMPRODUCT(V131,T131),U131)</f>
        <v>0.0648069127373585-0.0339769575421377i</v>
      </c>
      <c r="X131">
        <f t="shared" ref="X131:X194" si="72">20*LOG(IMABS(W131),10)</f>
        <v>-22.712916551805847</v>
      </c>
      <c r="Y131">
        <f t="shared" ref="Y131:Y194" si="73">IMARGUMENT(W131)*180/PI()</f>
        <v>-27.667116416655265</v>
      </c>
      <c r="Z131">
        <f t="shared" ref="Z131:Z194" si="74">A131/(2*PI())</f>
        <v>4774.6482927568604</v>
      </c>
      <c r="AA131">
        <f t="shared" ca="1" si="64"/>
        <v>-27.77112784162642</v>
      </c>
      <c r="AB131">
        <f t="shared" ca="1" si="65"/>
        <v>-83.304455935553889</v>
      </c>
    </row>
    <row r="132" spans="1:28" x14ac:dyDescent="0.2">
      <c r="A132">
        <v>31000</v>
      </c>
      <c r="B132" t="str">
        <f t="shared" si="66"/>
        <v>31000i</v>
      </c>
      <c r="C132" t="str">
        <f t="shared" ca="1" si="52"/>
        <v>1+0.417086054124024i</v>
      </c>
      <c r="D132" t="str">
        <f t="shared" ca="1" si="53"/>
        <v>1+0.218968216624264i</v>
      </c>
      <c r="E132" t="str">
        <f t="shared" ca="1" si="54"/>
        <v>1+141.693652397864i</v>
      </c>
      <c r="F132">
        <f t="shared" ca="1" si="55"/>
        <v>69.486139019499433</v>
      </c>
      <c r="G132" t="str">
        <f t="shared" ca="1" si="67"/>
        <v>0.315048281932786-0.443386267566557i</v>
      </c>
      <c r="H132">
        <f t="shared" ca="1" si="68"/>
        <v>-5.2893312061617506</v>
      </c>
      <c r="I132">
        <f t="shared" ca="1" si="69"/>
        <v>-54.604287853156919</v>
      </c>
      <c r="K132" t="str">
        <f t="shared" ca="1" si="56"/>
        <v>1+0.417086054124024i</v>
      </c>
      <c r="L132" t="str">
        <f t="shared" ca="1" si="57"/>
        <v>1-0.114738187882147i</v>
      </c>
      <c r="M132" t="str">
        <f t="shared" ca="1" si="58"/>
        <v>1+133.467537319688i</v>
      </c>
      <c r="N132" t="str">
        <f t="shared" si="59"/>
        <v>1+0.335898074520022i</v>
      </c>
      <c r="O132">
        <f t="shared" ca="1" si="60"/>
        <v>30.873410267617786</v>
      </c>
      <c r="P132" t="str">
        <f t="shared" ca="1" si="50"/>
        <v>-0.0085246647299763-0.238986615149804i</v>
      </c>
      <c r="Q132">
        <f t="shared" ca="1" si="70"/>
        <v>-12.427006190915904</v>
      </c>
      <c r="R132">
        <f t="shared" ca="1" si="51"/>
        <v>-92.042877246108418</v>
      </c>
      <c r="T132" t="str">
        <f t="shared" si="61"/>
        <v>1+5.332i</v>
      </c>
      <c r="U132" t="str">
        <f t="shared" si="62"/>
        <v>1+0.31i</v>
      </c>
      <c r="V132" t="str">
        <f t="shared" si="63"/>
        <v>-0.014066016504126i</v>
      </c>
      <c r="W132" t="str">
        <f t="shared" si="71"/>
        <v>0.0644462502360375-0.0340443540772976i</v>
      </c>
      <c r="X132">
        <f t="shared" si="72"/>
        <v>-22.747143648255378</v>
      </c>
      <c r="Y132">
        <f t="shared" si="73"/>
        <v>-27.845686619903397</v>
      </c>
      <c r="Z132">
        <f t="shared" si="74"/>
        <v>4933.8032358487553</v>
      </c>
      <c r="AA132">
        <f t="shared" ca="1" si="64"/>
        <v>-28.036474854417129</v>
      </c>
      <c r="AB132">
        <f t="shared" ca="1" si="65"/>
        <v>-82.449974473060308</v>
      </c>
    </row>
    <row r="133" spans="1:28" x14ac:dyDescent="0.2">
      <c r="A133">
        <v>32000</v>
      </c>
      <c r="B133" t="str">
        <f t="shared" si="66"/>
        <v>32000i</v>
      </c>
      <c r="C133" t="str">
        <f t="shared" ca="1" si="52"/>
        <v>1+0.430540442966734i</v>
      </c>
      <c r="D133" t="str">
        <f t="shared" ca="1" si="53"/>
        <v>1+0.226031707483111i</v>
      </c>
      <c r="E133" t="str">
        <f t="shared" ca="1" si="54"/>
        <v>1+146.264415378441i</v>
      </c>
      <c r="F133">
        <f t="shared" ca="1" si="55"/>
        <v>69.486139019499433</v>
      </c>
      <c r="G133" t="str">
        <f t="shared" ca="1" si="67"/>
        <v>0.314836326708032-0.426687543356558i</v>
      </c>
      <c r="H133">
        <f t="shared" ca="1" si="68"/>
        <v>-5.5100912920332838</v>
      </c>
      <c r="I133">
        <f t="shared" ca="1" si="69"/>
        <v>-53.577810766047357</v>
      </c>
      <c r="K133" t="str">
        <f t="shared" ca="1" si="56"/>
        <v>1+0.430540442966734i</v>
      </c>
      <c r="L133" t="str">
        <f t="shared" ca="1" si="57"/>
        <v>1-0.118439419749313i</v>
      </c>
      <c r="M133" t="str">
        <f t="shared" ca="1" si="58"/>
        <v>1+137.772941749355i</v>
      </c>
      <c r="N133" t="str">
        <f t="shared" si="59"/>
        <v>1+0.346733496278733i</v>
      </c>
      <c r="O133">
        <f t="shared" ca="1" si="60"/>
        <v>30.873410267617786</v>
      </c>
      <c r="P133" t="str">
        <f t="shared" ca="1" si="50"/>
        <v>-0.00878117780099931-0.231951289859563i</v>
      </c>
      <c r="Q133">
        <f t="shared" ca="1" si="70"/>
        <v>-12.685844235089728</v>
      </c>
      <c r="R133">
        <f t="shared" ca="1" si="51"/>
        <v>-92.16805981882878</v>
      </c>
      <c r="T133" t="str">
        <f t="shared" si="61"/>
        <v>1+5.504i</v>
      </c>
      <c r="U133" t="str">
        <f t="shared" si="62"/>
        <v>1+0.32i</v>
      </c>
      <c r="V133" t="str">
        <f t="shared" si="63"/>
        <v>-0.0136264534883721i</v>
      </c>
      <c r="W133" t="str">
        <f t="shared" si="71"/>
        <v>0.0640779525432882-0.0341313983022243i</v>
      </c>
      <c r="X133">
        <f t="shared" si="72"/>
        <v>-22.781122279613001</v>
      </c>
      <c r="Y133">
        <f t="shared" si="73"/>
        <v>-28.042189393490311</v>
      </c>
      <c r="Z133">
        <f t="shared" si="74"/>
        <v>5092.9581789406511</v>
      </c>
      <c r="AA133">
        <f t="shared" ca="1" si="64"/>
        <v>-28.291213571646285</v>
      </c>
      <c r="AB133">
        <f t="shared" ca="1" si="65"/>
        <v>-81.620000159537668</v>
      </c>
    </row>
    <row r="134" spans="1:28" x14ac:dyDescent="0.2">
      <c r="A134">
        <v>33000</v>
      </c>
      <c r="B134" t="str">
        <f t="shared" si="66"/>
        <v>33000i</v>
      </c>
      <c r="C134" t="str">
        <f t="shared" ca="1" si="52"/>
        <v>1+0.443994831809445i</v>
      </c>
      <c r="D134" t="str">
        <f t="shared" ca="1" si="53"/>
        <v>1+0.233095198341958i</v>
      </c>
      <c r="E134" t="str">
        <f t="shared" ca="1" si="54"/>
        <v>1+150.835178359017i</v>
      </c>
      <c r="F134">
        <f t="shared" ca="1" si="55"/>
        <v>69.486139019499433</v>
      </c>
      <c r="G134" t="str">
        <f t="shared" ca="1" si="67"/>
        <v>0.314643345516296-0.410913176610855i</v>
      </c>
      <c r="H134">
        <f t="shared" ca="1" si="68"/>
        <v>-5.7210822997144772</v>
      </c>
      <c r="I134">
        <f t="shared" ca="1" si="69"/>
        <v>-52.558093003203531</v>
      </c>
      <c r="K134" t="str">
        <f t="shared" ca="1" si="56"/>
        <v>1+0.443994831809445i</v>
      </c>
      <c r="L134" t="str">
        <f t="shared" ca="1" si="57"/>
        <v>1-0.122140651616479i</v>
      </c>
      <c r="M134" t="str">
        <f t="shared" ca="1" si="58"/>
        <v>1+142.078346179022i</v>
      </c>
      <c r="N134" t="str">
        <f t="shared" si="59"/>
        <v>1+0.357568918037443i</v>
      </c>
      <c r="O134">
        <f t="shared" ca="1" si="60"/>
        <v>30.873410267617786</v>
      </c>
      <c r="P134" t="str">
        <f t="shared" ca="1" si="50"/>
        <v>-0.00903084174990909-0.225349824569249i</v>
      </c>
      <c r="Q134">
        <f t="shared" ca="1" si="70"/>
        <v>-12.935886395563452</v>
      </c>
      <c r="R134">
        <f t="shared" ca="1" si="51"/>
        <v>-92.294887029565132</v>
      </c>
      <c r="T134" t="str">
        <f t="shared" si="61"/>
        <v>1+5.676i</v>
      </c>
      <c r="U134" t="str">
        <f t="shared" si="62"/>
        <v>1+0.33i</v>
      </c>
      <c r="V134" t="str">
        <f t="shared" si="63"/>
        <v>-0.0132135306553911i</v>
      </c>
      <c r="W134" t="str">
        <f t="shared" si="71"/>
        <v>0.0637023490699981-0.0342353058484905i</v>
      </c>
      <c r="X134">
        <f t="shared" si="72"/>
        <v>-22.814945375555993</v>
      </c>
      <c r="Y134">
        <f t="shared" si="73"/>
        <v>-28.254745012159464</v>
      </c>
      <c r="Z134">
        <f t="shared" si="74"/>
        <v>5252.113122032546</v>
      </c>
      <c r="AA134">
        <f t="shared" ca="1" si="64"/>
        <v>-28.536027675270471</v>
      </c>
      <c r="AB134">
        <f t="shared" ca="1" si="65"/>
        <v>-80.812838015362999</v>
      </c>
    </row>
    <row r="135" spans="1:28" x14ac:dyDescent="0.2">
      <c r="A135">
        <v>34000</v>
      </c>
      <c r="B135" t="str">
        <f t="shared" si="66"/>
        <v>34000i</v>
      </c>
      <c r="C135" t="str">
        <f t="shared" ca="1" si="52"/>
        <v>1+0.457449220652155i</v>
      </c>
      <c r="D135" t="str">
        <f t="shared" ca="1" si="53"/>
        <v>1+0.240158689200805i</v>
      </c>
      <c r="E135" t="str">
        <f t="shared" ca="1" si="54"/>
        <v>1+155.405941339593i</v>
      </c>
      <c r="F135">
        <f t="shared" ca="1" si="55"/>
        <v>69.486139019499433</v>
      </c>
      <c r="G135" t="str">
        <f t="shared" ca="1" si="67"/>
        <v>0.314467139444048-0.395981620526196i</v>
      </c>
      <c r="H135">
        <f t="shared" ca="1" si="68"/>
        <v>-5.9228451486553979</v>
      </c>
      <c r="I135">
        <f t="shared" ca="1" si="69"/>
        <v>-51.545301698785082</v>
      </c>
      <c r="K135" t="str">
        <f t="shared" ca="1" si="56"/>
        <v>1+0.457449220652155i</v>
      </c>
      <c r="L135" t="str">
        <f t="shared" ca="1" si="57"/>
        <v>1-0.125841883483645i</v>
      </c>
      <c r="M135" t="str">
        <f t="shared" ca="1" si="58"/>
        <v>1+146.38375060869i</v>
      </c>
      <c r="N135" t="str">
        <f t="shared" si="59"/>
        <v>1+0.368404339796154i</v>
      </c>
      <c r="O135">
        <f t="shared" ca="1" si="60"/>
        <v>30.873410267617786</v>
      </c>
      <c r="P135" t="str">
        <f t="shared" ca="1" si="50"/>
        <v>-0.00927461391816604-0.21914354060762i</v>
      </c>
      <c r="Q135">
        <f t="shared" ca="1" si="70"/>
        <v>-13.177654568621133</v>
      </c>
      <c r="R135">
        <f t="shared" ca="1" si="51"/>
        <v>-92.423431242055671</v>
      </c>
      <c r="T135" t="str">
        <f t="shared" si="61"/>
        <v>1+5.848i</v>
      </c>
      <c r="U135" t="str">
        <f t="shared" si="62"/>
        <v>1+0.34i</v>
      </c>
      <c r="V135" t="str">
        <f t="shared" si="63"/>
        <v>-0.0128248974008208i</v>
      </c>
      <c r="W135" t="str">
        <f t="shared" si="71"/>
        <v>0.0633197695264619-0.0343536190398179i</v>
      </c>
      <c r="X135">
        <f t="shared" si="72"/>
        <v>-22.848690981414187</v>
      </c>
      <c r="Y135">
        <f t="shared" si="73"/>
        <v>-28.481679609883244</v>
      </c>
      <c r="Z135">
        <f t="shared" si="74"/>
        <v>5411.2680651244418</v>
      </c>
      <c r="AA135">
        <f t="shared" ca="1" si="64"/>
        <v>-28.771536130069585</v>
      </c>
      <c r="AB135">
        <f t="shared" ca="1" si="65"/>
        <v>-80.026981308668326</v>
      </c>
    </row>
    <row r="136" spans="1:28" x14ac:dyDescent="0.2">
      <c r="A136">
        <v>35000</v>
      </c>
      <c r="B136" t="str">
        <f t="shared" si="66"/>
        <v>35000i</v>
      </c>
      <c r="C136" t="str">
        <f t="shared" ca="1" si="52"/>
        <v>1+0.470903609494866i</v>
      </c>
      <c r="D136" t="str">
        <f t="shared" ca="1" si="53"/>
        <v>1+0.247222180059652i</v>
      </c>
      <c r="E136" t="str">
        <f t="shared" ca="1" si="54"/>
        <v>1+159.976704320169i</v>
      </c>
      <c r="F136">
        <f t="shared" ca="1" si="55"/>
        <v>69.486139019499433</v>
      </c>
      <c r="G136" t="str">
        <f t="shared" ca="1" si="67"/>
        <v>0.314305819126271-0.38182064599903i</v>
      </c>
      <c r="H136">
        <f t="shared" ca="1" si="68"/>
        <v>-6.1158766496844663</v>
      </c>
      <c r="I136">
        <f t="shared" ca="1" si="69"/>
        <v>-50.539587837055997</v>
      </c>
      <c r="K136" t="str">
        <f t="shared" ca="1" si="56"/>
        <v>1+0.470903609494866i</v>
      </c>
      <c r="L136" t="str">
        <f t="shared" ca="1" si="57"/>
        <v>1-0.129543115350811i</v>
      </c>
      <c r="M136" t="str">
        <f t="shared" ca="1" si="58"/>
        <v>1+150.689155038357i</v>
      </c>
      <c r="N136" t="str">
        <f t="shared" si="59"/>
        <v>1+0.379239761554864i</v>
      </c>
      <c r="O136">
        <f t="shared" ca="1" si="60"/>
        <v>30.873410267617786</v>
      </c>
      <c r="P136" t="str">
        <f t="shared" ca="1" si="50"/>
        <v>-0.00951329680330645-0.213298181059472i</v>
      </c>
      <c r="Q136">
        <f t="shared" ca="1" si="70"/>
        <v>-13.411626370991094</v>
      </c>
      <c r="R136">
        <f t="shared" ca="1" si="51"/>
        <v>-92.553752486132339</v>
      </c>
      <c r="T136" t="str">
        <f t="shared" si="61"/>
        <v>1+6.02i</v>
      </c>
      <c r="U136" t="str">
        <f t="shared" si="62"/>
        <v>1+0.35i</v>
      </c>
      <c r="V136" t="str">
        <f t="shared" si="63"/>
        <v>-0.0124584717607973i</v>
      </c>
      <c r="W136" t="str">
        <f t="shared" si="71"/>
        <v>0.0629305433262545-0.0344841619249864i</v>
      </c>
      <c r="X136">
        <f t="shared" si="72"/>
        <v>-22.882424683061537</v>
      </c>
      <c r="Y136">
        <f t="shared" si="73"/>
        <v>-28.721497859343245</v>
      </c>
      <c r="Z136">
        <f t="shared" si="74"/>
        <v>5570.4230082163367</v>
      </c>
      <c r="AA136">
        <f t="shared" ca="1" si="64"/>
        <v>-28.998301332746003</v>
      </c>
      <c r="AB136">
        <f t="shared" ca="1" si="65"/>
        <v>-79.261085696399249</v>
      </c>
    </row>
    <row r="137" spans="1:28" x14ac:dyDescent="0.2">
      <c r="A137">
        <v>36000</v>
      </c>
      <c r="B137" t="str">
        <f t="shared" si="66"/>
        <v>36000i</v>
      </c>
      <c r="C137" t="str">
        <f t="shared" ca="1" si="52"/>
        <v>1+0.484357998337576i</v>
      </c>
      <c r="D137" t="str">
        <f t="shared" ca="1" si="53"/>
        <v>1+0.2542856709185i</v>
      </c>
      <c r="E137" t="str">
        <f t="shared" ca="1" si="54"/>
        <v>1+164.547467300746i</v>
      </c>
      <c r="F137">
        <f t="shared" ca="1" si="55"/>
        <v>69.486139019499433</v>
      </c>
      <c r="G137" t="str">
        <f t="shared" ca="1" si="67"/>
        <v>0.314157753890729-0.368366047809603i</v>
      </c>
      <c r="H137">
        <f t="shared" ca="1" si="68"/>
        <v>-6.3006344179353899</v>
      </c>
      <c r="I137">
        <f t="shared" ca="1" si="69"/>
        <v>-49.541087514344731</v>
      </c>
      <c r="K137" t="str">
        <f t="shared" ca="1" si="56"/>
        <v>1+0.484357998337576i</v>
      </c>
      <c r="L137" t="str">
        <f t="shared" ca="1" si="57"/>
        <v>1-0.133244347217977i</v>
      </c>
      <c r="M137" t="str">
        <f t="shared" ca="1" si="58"/>
        <v>1+154.994559468024i</v>
      </c>
      <c r="N137" t="str">
        <f t="shared" si="59"/>
        <v>1+0.390075183313574i</v>
      </c>
      <c r="O137">
        <f t="shared" ca="1" si="60"/>
        <v>30.873410267617786</v>
      </c>
      <c r="P137" t="str">
        <f t="shared" ca="1" si="50"/>
        <v>-0.00974756391677614-0.207783297493082i</v>
      </c>
      <c r="Q137">
        <f t="shared" ca="1" si="70"/>
        <v>-13.638240077730295</v>
      </c>
      <c r="R137">
        <f t="shared" ca="1" si="51"/>
        <v>-92.685899769414021</v>
      </c>
      <c r="T137" t="str">
        <f t="shared" si="61"/>
        <v>1+6.192i</v>
      </c>
      <c r="U137" t="str">
        <f t="shared" si="62"/>
        <v>1+0.36i</v>
      </c>
      <c r="V137" t="str">
        <f t="shared" si="63"/>
        <v>-0.0121124031007752i</v>
      </c>
      <c r="W137" t="str">
        <f t="shared" si="71"/>
        <v>0.0625349990117926-0.0346250027450205i</v>
      </c>
      <c r="X137">
        <f t="shared" si="72"/>
        <v>-22.916201586553004</v>
      </c>
      <c r="Y137">
        <f t="shared" si="73"/>
        <v>-28.972859896189853</v>
      </c>
      <c r="Z137">
        <f t="shared" si="74"/>
        <v>5729.5779513082325</v>
      </c>
      <c r="AA137">
        <f t="shared" ca="1" si="64"/>
        <v>-29.216836004488393</v>
      </c>
      <c r="AB137">
        <f t="shared" ca="1" si="65"/>
        <v>-78.513947410534584</v>
      </c>
    </row>
    <row r="138" spans="1:28" x14ac:dyDescent="0.2">
      <c r="A138">
        <v>37000</v>
      </c>
      <c r="B138" t="str">
        <f t="shared" si="66"/>
        <v>37000i</v>
      </c>
      <c r="C138" t="str">
        <f t="shared" ca="1" si="52"/>
        <v>1+0.497812387180287i</v>
      </c>
      <c r="D138" t="str">
        <f t="shared" ca="1" si="53"/>
        <v>1+0.261349161777347i</v>
      </c>
      <c r="E138" t="str">
        <f t="shared" ca="1" si="54"/>
        <v>1+169.118230281322i</v>
      </c>
      <c r="F138">
        <f t="shared" ca="1" si="55"/>
        <v>69.486139019499433</v>
      </c>
      <c r="G138" t="str">
        <f t="shared" ca="1" si="67"/>
        <v>0.314021530389394-0.355560560557966i</v>
      </c>
      <c r="H138">
        <f t="shared" ca="1" si="68"/>
        <v>-6.4775411084045977</v>
      </c>
      <c r="I138">
        <f t="shared" ca="1" si="69"/>
        <v>-48.549923040254775</v>
      </c>
      <c r="K138" t="str">
        <f t="shared" ca="1" si="56"/>
        <v>1+0.497812387180287i</v>
      </c>
      <c r="L138" t="str">
        <f t="shared" ca="1" si="57"/>
        <v>1-0.136945579085143i</v>
      </c>
      <c r="M138" t="str">
        <f t="shared" ca="1" si="58"/>
        <v>1+159.299963897692i</v>
      </c>
      <c r="N138" t="str">
        <f t="shared" si="59"/>
        <v>1+0.400910605072285i</v>
      </c>
      <c r="O138">
        <f t="shared" ca="1" si="60"/>
        <v>30.873410267617786</v>
      </c>
      <c r="P138" t="str">
        <f t="shared" ca="1" si="50"/>
        <v>-0.0099779808538956-0.202571736070551i</v>
      </c>
      <c r="Q138">
        <f t="shared" ca="1" si="70"/>
        <v>-13.857898882231581</v>
      </c>
      <c r="R138">
        <f t="shared" ca="1" si="51"/>
        <v>-92.819912210336412</v>
      </c>
      <c r="T138" t="str">
        <f t="shared" si="61"/>
        <v>1+6.364i</v>
      </c>
      <c r="U138" t="str">
        <f t="shared" si="62"/>
        <v>1+0.37i</v>
      </c>
      <c r="V138" t="str">
        <f t="shared" si="63"/>
        <v>-0.0117850408548083i</v>
      </c>
      <c r="W138" t="str">
        <f t="shared" si="71"/>
        <v>0.0621334637028067-0.0347744224248468i</v>
      </c>
      <c r="X138">
        <f t="shared" si="72"/>
        <v>-22.950067943642605</v>
      </c>
      <c r="Y138">
        <f t="shared" si="73"/>
        <v>-29.234561744312931</v>
      </c>
      <c r="Z138">
        <f t="shared" si="74"/>
        <v>5888.7328944001274</v>
      </c>
      <c r="AA138">
        <f t="shared" ca="1" si="64"/>
        <v>-29.427609052047202</v>
      </c>
      <c r="AB138">
        <f t="shared" ca="1" si="65"/>
        <v>-77.784484784567709</v>
      </c>
    </row>
    <row r="139" spans="1:28" x14ac:dyDescent="0.2">
      <c r="A139">
        <v>38000</v>
      </c>
      <c r="B139" t="str">
        <f t="shared" si="66"/>
        <v>38000i</v>
      </c>
      <c r="C139" t="str">
        <f t="shared" ca="1" si="52"/>
        <v>1+0.511266776022997i</v>
      </c>
      <c r="D139" t="str">
        <f t="shared" ca="1" si="53"/>
        <v>1+0.268412652636194i</v>
      </c>
      <c r="E139" t="str">
        <f t="shared" ca="1" si="54"/>
        <v>1+173.688993261898i</v>
      </c>
      <c r="F139">
        <f t="shared" ca="1" si="55"/>
        <v>69.486139019499433</v>
      </c>
      <c r="G139" t="str">
        <f t="shared" ca="1" si="67"/>
        <v>0.313895918746978-0.343352945724671i</v>
      </c>
      <c r="H139">
        <f t="shared" ca="1" si="68"/>
        <v>-6.6469880830382575</v>
      </c>
      <c r="I139">
        <f t="shared" ca="1" si="69"/>
        <v>-47.566203908493982</v>
      </c>
      <c r="K139" t="str">
        <f t="shared" ca="1" si="56"/>
        <v>1+0.511266776022997i</v>
      </c>
      <c r="L139" t="str">
        <f t="shared" ca="1" si="57"/>
        <v>1-0.140646810952309i</v>
      </c>
      <c r="M139" t="str">
        <f t="shared" ca="1" si="58"/>
        <v>1+163.605368327359i</v>
      </c>
      <c r="N139" t="str">
        <f t="shared" si="59"/>
        <v>1+0.411746026830995i</v>
      </c>
      <c r="O139">
        <f t="shared" ca="1" si="60"/>
        <v>30.873410267617786</v>
      </c>
      <c r="P139" t="str">
        <f t="shared" ca="1" si="50"/>
        <v>-0.0102050225667105-0.197639204738791i</v>
      </c>
      <c r="Q139">
        <f t="shared" ca="1" si="70"/>
        <v>-14.070974587192588</v>
      </c>
      <c r="R139">
        <f t="shared" ca="1" si="51"/>
        <v>-92.95582002522589</v>
      </c>
      <c r="T139" t="str">
        <f t="shared" si="61"/>
        <v>1+6.536i</v>
      </c>
      <c r="U139" t="str">
        <f t="shared" si="62"/>
        <v>1+0.38i</v>
      </c>
      <c r="V139" t="str">
        <f t="shared" si="63"/>
        <v>-0.0114749082007344i</v>
      </c>
      <c r="W139" t="str">
        <f t="shared" si="71"/>
        <v>0.0617262625687879-0.0349308879768738i</v>
      </c>
      <c r="X139">
        <f t="shared" si="72"/>
        <v>-22.98406249391164</v>
      </c>
      <c r="Y139">
        <f t="shared" si="73"/>
        <v>-29.50551864203991</v>
      </c>
      <c r="Z139">
        <f t="shared" si="74"/>
        <v>6047.8878374920232</v>
      </c>
      <c r="AA139">
        <f t="shared" ca="1" si="64"/>
        <v>-29.631050576949896</v>
      </c>
      <c r="AB139">
        <f t="shared" ca="1" si="65"/>
        <v>-77.071722550533892</v>
      </c>
    </row>
    <row r="140" spans="1:28" x14ac:dyDescent="0.2">
      <c r="A140">
        <v>39000</v>
      </c>
      <c r="B140" t="str">
        <f t="shared" si="66"/>
        <v>39000i</v>
      </c>
      <c r="C140" t="str">
        <f t="shared" ca="1" si="52"/>
        <v>1+0.524721164865708i</v>
      </c>
      <c r="D140" t="str">
        <f t="shared" ca="1" si="53"/>
        <v>1+0.275476143495041i</v>
      </c>
      <c r="E140" t="str">
        <f t="shared" ca="1" si="54"/>
        <v>1+178.259756242475i</v>
      </c>
      <c r="F140">
        <f t="shared" ca="1" si="55"/>
        <v>69.486139019499433</v>
      </c>
      <c r="G140" t="str">
        <f t="shared" ca="1" si="67"/>
        <v>0.313779844705109-0.331697219150053i</v>
      </c>
      <c r="H140">
        <f t="shared" ca="1" si="68"/>
        <v>-6.8093385984280044</v>
      </c>
      <c r="I140">
        <f t="shared" ca="1" si="69"/>
        <v>-46.59002766117667</v>
      </c>
      <c r="K140" t="str">
        <f t="shared" ca="1" si="56"/>
        <v>1+0.524721164865708i</v>
      </c>
      <c r="L140" t="str">
        <f t="shared" ca="1" si="57"/>
        <v>1-0.144348042819475i</v>
      </c>
      <c r="M140" t="str">
        <f t="shared" ca="1" si="58"/>
        <v>1+167.910772757026i</v>
      </c>
      <c r="N140" t="str">
        <f t="shared" si="59"/>
        <v>1+0.422581448589706i</v>
      </c>
      <c r="O140">
        <f t="shared" ca="1" si="60"/>
        <v>30.873410267617786</v>
      </c>
      <c r="P140" t="str">
        <f t="shared" ca="1" si="50"/>
        <v>-0.0104290876049565-0.192963906952194i</v>
      </c>
      <c r="Q140">
        <f t="shared" ca="1" si="70"/>
        <v>-14.277810815571669</v>
      </c>
      <c r="R140">
        <f t="shared" ca="1" si="51"/>
        <v>-93.093645395218886</v>
      </c>
      <c r="T140" t="str">
        <f t="shared" si="61"/>
        <v>1+6.708i</v>
      </c>
      <c r="U140" t="str">
        <f t="shared" si="62"/>
        <v>1+0.39i</v>
      </c>
      <c r="V140" t="str">
        <f t="shared" si="63"/>
        <v>-0.0111806797853309i</v>
      </c>
      <c r="W140" t="str">
        <f t="shared" si="71"/>
        <v>0.0613137183262917-0.0350930299325847i</v>
      </c>
      <c r="X140">
        <f t="shared" si="72"/>
        <v>-23.018217578766532</v>
      </c>
      <c r="Y140">
        <f t="shared" si="73"/>
        <v>-29.784750782719751</v>
      </c>
      <c r="Z140">
        <f t="shared" si="74"/>
        <v>6207.0427805839181</v>
      </c>
      <c r="AA140">
        <f t="shared" ca="1" si="64"/>
        <v>-29.827556177194538</v>
      </c>
      <c r="AB140">
        <f t="shared" ca="1" si="65"/>
        <v>-76.374778443896417</v>
      </c>
    </row>
    <row r="141" spans="1:28" x14ac:dyDescent="0.2">
      <c r="A141">
        <v>40000</v>
      </c>
      <c r="B141" t="str">
        <f t="shared" si="66"/>
        <v>40000i</v>
      </c>
      <c r="C141" t="str">
        <f t="shared" ca="1" si="52"/>
        <v>1+0.538175553708418i</v>
      </c>
      <c r="D141" t="str">
        <f t="shared" ca="1" si="53"/>
        <v>1+0.282539634353889i</v>
      </c>
      <c r="E141" t="str">
        <f t="shared" ca="1" si="54"/>
        <v>1+182.830519223051i</v>
      </c>
      <c r="F141">
        <f t="shared" ca="1" si="55"/>
        <v>69.486139019499433</v>
      </c>
      <c r="G141" t="str">
        <f t="shared" ca="1" si="67"/>
        <v>0.313672366578539-0.320551994365308i</v>
      </c>
      <c r="H141">
        <f t="shared" ca="1" si="68"/>
        <v>-6.9649305873898282</v>
      </c>
      <c r="I141">
        <f t="shared" ca="1" si="69"/>
        <v>-45.621480665416939</v>
      </c>
      <c r="K141" t="str">
        <f t="shared" ca="1" si="56"/>
        <v>1+0.538175553708418i</v>
      </c>
      <c r="L141" t="str">
        <f t="shared" ca="1" si="57"/>
        <v>1-0.148049274686641i</v>
      </c>
      <c r="M141" t="str">
        <f t="shared" ca="1" si="58"/>
        <v>1+172.216177186694i</v>
      </c>
      <c r="N141" t="str">
        <f t="shared" si="59"/>
        <v>1+0.433416870348416i</v>
      </c>
      <c r="O141">
        <f t="shared" ca="1" si="60"/>
        <v>30.873410267617786</v>
      </c>
      <c r="P141" t="str">
        <f t="shared" ca="1" si="50"/>
        <v>-0.0106505099204555-0.188526230287i</v>
      </c>
      <c r="Q141">
        <f t="shared" ca="1" si="70"/>
        <v>-14.47872581476058</v>
      </c>
      <c r="R141">
        <f t="shared" ca="1" si="51"/>
        <v>-93.233403233483259</v>
      </c>
      <c r="T141" t="str">
        <f t="shared" si="61"/>
        <v>1+6.88i</v>
      </c>
      <c r="U141" t="str">
        <f t="shared" si="62"/>
        <v>1+0.4i</v>
      </c>
      <c r="V141" t="str">
        <f t="shared" si="63"/>
        <v>-0.0109011627906977i</v>
      </c>
      <c r="W141" t="str">
        <f t="shared" si="71"/>
        <v>0.0608961507618285-0.0352596230954291i</v>
      </c>
      <c r="X141">
        <f t="shared" si="72"/>
        <v>-23.052560070750392</v>
      </c>
      <c r="Y141">
        <f t="shared" si="73"/>
        <v>-30.071371073332976</v>
      </c>
      <c r="Z141">
        <f t="shared" si="74"/>
        <v>6366.1977236758139</v>
      </c>
      <c r="AA141">
        <f t="shared" ca="1" si="64"/>
        <v>-30.017490658140218</v>
      </c>
      <c r="AB141">
        <f t="shared" ca="1" si="65"/>
        <v>-75.692851738749908</v>
      </c>
    </row>
    <row r="142" spans="1:28" x14ac:dyDescent="0.2">
      <c r="A142">
        <v>41000</v>
      </c>
      <c r="B142" t="str">
        <f t="shared" si="66"/>
        <v>41000i</v>
      </c>
      <c r="C142" t="str">
        <f t="shared" ca="1" si="52"/>
        <v>1+0.551629942551128i</v>
      </c>
      <c r="D142" t="str">
        <f t="shared" ca="1" si="53"/>
        <v>1+0.289603125212736i</v>
      </c>
      <c r="E142" t="str">
        <f t="shared" ca="1" si="54"/>
        <v>1+187.401282203627i</v>
      </c>
      <c r="F142">
        <f t="shared" ca="1" si="55"/>
        <v>69.486139019499433</v>
      </c>
      <c r="G142" t="str">
        <f t="shared" ca="1" si="67"/>
        <v>0.313572656096283-0.309879922000702i</v>
      </c>
      <c r="H142">
        <f t="shared" ca="1" si="68"/>
        <v>-7.114079095016054</v>
      </c>
      <c r="I142">
        <f t="shared" ca="1" si="69"/>
        <v>-44.660638817122397</v>
      </c>
      <c r="K142" t="str">
        <f t="shared" ca="1" si="56"/>
        <v>1+0.551629942551128i</v>
      </c>
      <c r="L142" t="str">
        <f t="shared" ca="1" si="57"/>
        <v>1-0.151750506553807i</v>
      </c>
      <c r="M142" t="str">
        <f t="shared" ca="1" si="58"/>
        <v>1+176.521581616361i</v>
      </c>
      <c r="N142" t="str">
        <f t="shared" si="59"/>
        <v>1+0.444252292107126i</v>
      </c>
      <c r="O142">
        <f t="shared" ca="1" si="60"/>
        <v>30.873410267617786</v>
      </c>
      <c r="P142" t="str">
        <f t="shared" ca="1" si="50"/>
        <v>-0.010869568701309-0.184308480578116i</v>
      </c>
      <c r="Q142">
        <f t="shared" ca="1" si="70"/>
        <v>-14.674014914523397</v>
      </c>
      <c r="R142">
        <f t="shared" ca="1" si="51"/>
        <v>-93.37510186905115</v>
      </c>
      <c r="T142" t="str">
        <f t="shared" si="61"/>
        <v>1+7.052i</v>
      </c>
      <c r="U142" t="str">
        <f t="shared" si="62"/>
        <v>1+0.41i</v>
      </c>
      <c r="V142" t="str">
        <f t="shared" si="63"/>
        <v>-0.0106352807714124i</v>
      </c>
      <c r="W142" t="str">
        <f t="shared" si="71"/>
        <v>0.0604738762809016-0.035429570046582i</v>
      </c>
      <c r="X142">
        <f t="shared" si="72"/>
        <v>-23.087112152531173</v>
      </c>
      <c r="Y142">
        <f t="shared" si="73"/>
        <v>-30.364574586759524</v>
      </c>
      <c r="Z142">
        <f t="shared" si="74"/>
        <v>6525.3526667677088</v>
      </c>
      <c r="AA142">
        <f t="shared" ca="1" si="64"/>
        <v>-30.201191247547229</v>
      </c>
      <c r="AB142">
        <f t="shared" ca="1" si="65"/>
        <v>-75.025213403881921</v>
      </c>
    </row>
    <row r="143" spans="1:28" x14ac:dyDescent="0.2">
      <c r="A143">
        <v>42000</v>
      </c>
      <c r="B143" t="str">
        <f t="shared" si="66"/>
        <v>42000i</v>
      </c>
      <c r="C143" t="str">
        <f t="shared" ca="1" si="52"/>
        <v>1+0.565084331393839i</v>
      </c>
      <c r="D143" t="str">
        <f t="shared" ca="1" si="53"/>
        <v>1+0.296666616071583i</v>
      </c>
      <c r="E143" t="str">
        <f t="shared" ca="1" si="54"/>
        <v>1+191.972045184203i</v>
      </c>
      <c r="F143">
        <f t="shared" ca="1" si="55"/>
        <v>69.486139019499433</v>
      </c>
      <c r="G143" t="str">
        <f t="shared" ca="1" si="67"/>
        <v>0.313479982396841-0.299647209261922i</v>
      </c>
      <c r="H143">
        <f t="shared" ca="1" si="68"/>
        <v>-7.2570784195474705</v>
      </c>
      <c r="I143">
        <f t="shared" ca="1" si="69"/>
        <v>-43.707568183850945</v>
      </c>
      <c r="K143" t="str">
        <f t="shared" ca="1" si="56"/>
        <v>1+0.565084331393839i</v>
      </c>
      <c r="L143" t="str">
        <f t="shared" ca="1" si="57"/>
        <v>1-0.155451738420973i</v>
      </c>
      <c r="M143" t="str">
        <f t="shared" ca="1" si="58"/>
        <v>1+180.826986046028i</v>
      </c>
      <c r="N143" t="str">
        <f t="shared" si="59"/>
        <v>1+0.455087713865837i</v>
      </c>
      <c r="O143">
        <f t="shared" ca="1" si="60"/>
        <v>30.873410267617786</v>
      </c>
      <c r="P143" t="str">
        <f t="shared" ca="1" si="50"/>
        <v>-0.0110864966036313-0.180294653993387i</v>
      </c>
      <c r="Q143">
        <f t="shared" ca="1" si="70"/>
        <v>-14.863952689017628</v>
      </c>
      <c r="R143">
        <f t="shared" ca="1" si="51"/>
        <v>-93.518743660332845</v>
      </c>
      <c r="T143" t="str">
        <f t="shared" si="61"/>
        <v>1+7.224i</v>
      </c>
      <c r="U143" t="str">
        <f t="shared" si="62"/>
        <v>1+0.42i</v>
      </c>
      <c r="V143" t="str">
        <f t="shared" si="63"/>
        <v>-0.0103820598006645i</v>
      </c>
      <c r="W143" t="str">
        <f t="shared" si="71"/>
        <v>0.0600472074836121-0.0356018869437816i</v>
      </c>
      <c r="X143">
        <f t="shared" si="72"/>
        <v>-23.121891972900507</v>
      </c>
      <c r="Y143">
        <f t="shared" si="73"/>
        <v>-30.663629441076633</v>
      </c>
      <c r="Z143">
        <f t="shared" si="74"/>
        <v>6684.5076098596046</v>
      </c>
      <c r="AA143">
        <f t="shared" ca="1" si="64"/>
        <v>-30.378970392447975</v>
      </c>
      <c r="AB143">
        <f t="shared" ca="1" si="65"/>
        <v>-74.371197624927575</v>
      </c>
    </row>
    <row r="144" spans="1:28" x14ac:dyDescent="0.2">
      <c r="A144">
        <v>43000</v>
      </c>
      <c r="B144" t="str">
        <f t="shared" si="66"/>
        <v>43000i</v>
      </c>
      <c r="C144" t="str">
        <f t="shared" ca="1" si="52"/>
        <v>1+0.578538720236549i</v>
      </c>
      <c r="D144" t="str">
        <f t="shared" ca="1" si="53"/>
        <v>1+0.30373010693043i</v>
      </c>
      <c r="E144" t="str">
        <f t="shared" ca="1" si="54"/>
        <v>1+196.54280816478i</v>
      </c>
      <c r="F144">
        <f t="shared" ca="1" si="55"/>
        <v>69.486139019499433</v>
      </c>
      <c r="G144" t="str">
        <f t="shared" ca="1" si="67"/>
        <v>0.313393698597699-0.289823206443121i</v>
      </c>
      <c r="H144">
        <f t="shared" ca="1" si="68"/>
        <v>-7.3942040001013414</v>
      </c>
      <c r="I144">
        <f t="shared" ca="1" si="69"/>
        <v>-42.762325596198473</v>
      </c>
      <c r="K144" t="str">
        <f t="shared" ca="1" si="56"/>
        <v>1+0.578538720236549i</v>
      </c>
      <c r="L144" t="str">
        <f t="shared" ca="1" si="57"/>
        <v>1-0.159152970288139i</v>
      </c>
      <c r="M144" t="str">
        <f t="shared" ca="1" si="58"/>
        <v>1+185.132390475696i</v>
      </c>
      <c r="N144" t="str">
        <f t="shared" si="59"/>
        <v>1+0.465923135624547i</v>
      </c>
      <c r="O144">
        <f t="shared" ca="1" si="60"/>
        <v>30.873410267617786</v>
      </c>
      <c r="P144" t="str">
        <f t="shared" ca="1" si="50"/>
        <v>-0.0113014866726166-0.176470240871253i</v>
      </c>
      <c r="Q144">
        <f t="shared" ca="1" si="70"/>
        <v>-15.0487948649046</v>
      </c>
      <c r="R144">
        <f t="shared" ca="1" si="51"/>
        <v>-93.664325548836217</v>
      </c>
      <c r="T144" t="str">
        <f t="shared" si="61"/>
        <v>1+7.396i</v>
      </c>
      <c r="U144" t="str">
        <f t="shared" si="62"/>
        <v>1+0.43i</v>
      </c>
      <c r="V144" t="str">
        <f t="shared" si="63"/>
        <v>-0.0101406165494862i</v>
      </c>
      <c r="W144" t="str">
        <f t="shared" si="71"/>
        <v>0.0596164527670865-0.0357756912393334i</v>
      </c>
      <c r="X144">
        <f t="shared" si="72"/>
        <v>-23.156914201648554</v>
      </c>
      <c r="Y144">
        <f t="shared" si="73"/>
        <v>-30.96786888579177</v>
      </c>
      <c r="Z144">
        <f t="shared" si="74"/>
        <v>6843.6625529514995</v>
      </c>
      <c r="AA144">
        <f t="shared" ca="1" si="64"/>
        <v>-30.551118201749894</v>
      </c>
      <c r="AB144">
        <f t="shared" ca="1" si="65"/>
        <v>-73.730194481990239</v>
      </c>
    </row>
    <row r="145" spans="1:28" x14ac:dyDescent="0.2">
      <c r="A145">
        <v>44000</v>
      </c>
      <c r="B145" t="str">
        <f t="shared" si="66"/>
        <v>44000i</v>
      </c>
      <c r="C145" t="str">
        <f t="shared" ca="1" si="52"/>
        <v>1+0.59199310907926i</v>
      </c>
      <c r="D145" t="str">
        <f t="shared" ca="1" si="53"/>
        <v>1+0.310793597789277i</v>
      </c>
      <c r="E145" t="str">
        <f t="shared" ca="1" si="54"/>
        <v>1+201.113571145356i</v>
      </c>
      <c r="F145">
        <f t="shared" ca="1" si="55"/>
        <v>69.486139019499433</v>
      </c>
      <c r="G145" t="str">
        <f t="shared" ca="1" si="67"/>
        <v>0.313313230476601-0.280380049814063i</v>
      </c>
      <c r="H145">
        <f t="shared" ca="1" si="68"/>
        <v>-7.5257140865027043</v>
      </c>
      <c r="I145">
        <f t="shared" ca="1" si="69"/>
        <v>-41.824959195299314</v>
      </c>
      <c r="K145" t="str">
        <f t="shared" ca="1" si="56"/>
        <v>1+0.59199310907926i</v>
      </c>
      <c r="L145" t="str">
        <f t="shared" ca="1" si="57"/>
        <v>1-0.162854202155305i</v>
      </c>
      <c r="M145" t="str">
        <f t="shared" ca="1" si="58"/>
        <v>1+189.437794905363i</v>
      </c>
      <c r="N145" t="str">
        <f t="shared" si="59"/>
        <v>1+0.476758557383258i</v>
      </c>
      <c r="O145">
        <f t="shared" ca="1" si="60"/>
        <v>30.873410267617786</v>
      </c>
      <c r="P145" t="str">
        <f t="shared" ca="1" si="50"/>
        <v>-0.0115146981858398-0.172822056270145i</v>
      </c>
      <c r="Q145">
        <f t="shared" ca="1" si="70"/>
        <v>-15.228780010775388</v>
      </c>
      <c r="R145">
        <f t="shared" ca="1" si="51"/>
        <v>-93.811839561605836</v>
      </c>
      <c r="T145" t="str">
        <f t="shared" si="61"/>
        <v>1+7.568i</v>
      </c>
      <c r="U145" t="str">
        <f t="shared" si="62"/>
        <v>1+0.44i</v>
      </c>
      <c r="V145" t="str">
        <f t="shared" si="63"/>
        <v>-0.00991014799154334i</v>
      </c>
      <c r="W145" t="str">
        <f t="shared" si="71"/>
        <v>0.05918191595486-0.0359501910116818i</v>
      </c>
      <c r="X145">
        <f t="shared" si="72"/>
        <v>-23.192190500893783</v>
      </c>
      <c r="Y145">
        <f t="shared" si="73"/>
        <v>-31.276684412585578</v>
      </c>
      <c r="Z145">
        <f t="shared" si="74"/>
        <v>7002.8174960433953</v>
      </c>
      <c r="AA145">
        <f t="shared" ca="1" si="64"/>
        <v>-30.71790458739649</v>
      </c>
      <c r="AB145">
        <f t="shared" ca="1" si="65"/>
        <v>-73.101643607884895</v>
      </c>
    </row>
    <row r="146" spans="1:28" x14ac:dyDescent="0.2">
      <c r="A146">
        <v>45000</v>
      </c>
      <c r="B146" t="str">
        <f t="shared" si="66"/>
        <v>45000i</v>
      </c>
      <c r="C146" t="str">
        <f t="shared" ca="1" si="52"/>
        <v>1+0.60544749792197i</v>
      </c>
      <c r="D146" t="str">
        <f t="shared" ca="1" si="53"/>
        <v>1+0.317857088648125i</v>
      </c>
      <c r="E146" t="str">
        <f t="shared" ca="1" si="54"/>
        <v>1+205.684334125932i</v>
      </c>
      <c r="F146">
        <f t="shared" ca="1" si="55"/>
        <v>69.486139019499433</v>
      </c>
      <c r="G146" t="str">
        <f t="shared" ca="1" si="67"/>
        <v>0.313238066893409-0.271292352113835i</v>
      </c>
      <c r="H146">
        <f t="shared" ca="1" si="68"/>
        <v>-7.6518512209029392</v>
      </c>
      <c r="I146">
        <f t="shared" ca="1" si="69"/>
        <v>-40.895508942536665</v>
      </c>
      <c r="K146" t="str">
        <f t="shared" ca="1" si="56"/>
        <v>1+0.60544749792197i</v>
      </c>
      <c r="L146" t="str">
        <f t="shared" ca="1" si="57"/>
        <v>1-0.166555434022471i</v>
      </c>
      <c r="M146" t="str">
        <f t="shared" ca="1" si="58"/>
        <v>1+193.74319933503i</v>
      </c>
      <c r="N146" t="str">
        <f t="shared" si="59"/>
        <v>1+0.487593979141968i</v>
      </c>
      <c r="O146">
        <f t="shared" ca="1" si="60"/>
        <v>30.873410267617786</v>
      </c>
      <c r="P146" t="str">
        <f t="shared" ref="P146:P209" ca="1" si="75">IMDIV(IMPRODUCT(O146,K146,L146,),IMPRODUCT(M146,N146,))</f>
        <v>-0.0117262616057649-0.169338093075916i</v>
      </c>
      <c r="Q146">
        <f t="shared" ca="1" si="70"/>
        <v>-15.40413103755883</v>
      </c>
      <c r="R146">
        <f t="shared" ref="R146:R209" ca="1" si="76">IMARGUMENT(P146)*180/PI()</f>
        <v>-93.961273269309572</v>
      </c>
      <c r="T146" t="str">
        <f t="shared" si="61"/>
        <v>1+7.74i</v>
      </c>
      <c r="U146" t="str">
        <f t="shared" si="62"/>
        <v>1+0.45i</v>
      </c>
      <c r="V146" t="str">
        <f t="shared" si="63"/>
        <v>-0.00968992248062016i</v>
      </c>
      <c r="W146" t="str">
        <f t="shared" si="71"/>
        <v>0.0587438959531983-0.0361246756595594i</v>
      </c>
      <c r="X146">
        <f t="shared" si="72"/>
        <v>-23.227729927075551</v>
      </c>
      <c r="Y146">
        <f t="shared" si="73"/>
        <v>-31.589519738763077</v>
      </c>
      <c r="Z146">
        <f t="shared" si="74"/>
        <v>7161.9724391352902</v>
      </c>
      <c r="AA146">
        <f t="shared" ca="1" si="64"/>
        <v>-30.879581147978492</v>
      </c>
      <c r="AB146">
        <f t="shared" ca="1" si="65"/>
        <v>-72.485028681299738</v>
      </c>
    </row>
    <row r="147" spans="1:28" x14ac:dyDescent="0.2">
      <c r="A147">
        <v>46000</v>
      </c>
      <c r="B147" t="str">
        <f t="shared" si="66"/>
        <v>46000i</v>
      </c>
      <c r="C147" t="str">
        <f t="shared" ca="1" si="52"/>
        <v>1+0.618901886764681i</v>
      </c>
      <c r="D147" t="str">
        <f t="shared" ca="1" si="53"/>
        <v>1+0.324920579506972i</v>
      </c>
      <c r="E147" t="str">
        <f t="shared" ca="1" si="54"/>
        <v>1+210.255097106508i</v>
      </c>
      <c r="F147">
        <f t="shared" ca="1" si="55"/>
        <v>69.486139019499433</v>
      </c>
      <c r="G147" t="str">
        <f t="shared" ca="1" si="67"/>
        <v>0.313167751653279-0.262536933408103i</v>
      </c>
      <c r="H147">
        <f t="shared" ca="1" si="68"/>
        <v>-7.772843556279291</v>
      </c>
      <c r="I147">
        <f t="shared" ca="1" si="69"/>
        <v>-39.974007096375878</v>
      </c>
      <c r="K147" t="str">
        <f t="shared" ca="1" si="56"/>
        <v>1+0.618901886764681i</v>
      </c>
      <c r="L147" t="str">
        <f t="shared" ca="1" si="57"/>
        <v>1-0.170256665889637i</v>
      </c>
      <c r="M147" t="str">
        <f t="shared" ca="1" si="58"/>
        <v>1+198.048603764698i</v>
      </c>
      <c r="N147" t="str">
        <f t="shared" si="59"/>
        <v>1+0.498429400900678i</v>
      </c>
      <c r="O147">
        <f t="shared" ca="1" si="60"/>
        <v>30.873410267617786</v>
      </c>
      <c r="P147" t="str">
        <f t="shared" ca="1" si="75"/>
        <v>-0.0119362827923775-0.166007394235986i</v>
      </c>
      <c r="Q147">
        <f t="shared" ca="1" si="70"/>
        <v>-15.575056534992047</v>
      </c>
      <c r="R147">
        <f t="shared" ca="1" si="76"/>
        <v>-94.112610205635534</v>
      </c>
      <c r="T147" t="str">
        <f t="shared" si="61"/>
        <v>1+7.912i</v>
      </c>
      <c r="U147" t="str">
        <f t="shared" si="62"/>
        <v>1+0.46i</v>
      </c>
      <c r="V147" t="str">
        <f t="shared" si="63"/>
        <v>-0.00947927199191102i</v>
      </c>
      <c r="W147" t="str">
        <f t="shared" si="71"/>
        <v>0.0583026864342365-0.0362985077516598i</v>
      </c>
      <c r="X147">
        <f t="shared" si="72"/>
        <v>-23.263539275143433</v>
      </c>
      <c r="Y147">
        <f t="shared" si="73"/>
        <v>-31.905865536621086</v>
      </c>
      <c r="Z147">
        <f t="shared" si="74"/>
        <v>7321.127382227186</v>
      </c>
      <c r="AA147">
        <f t="shared" ca="1" si="64"/>
        <v>-31.036382831422724</v>
      </c>
      <c r="AB147">
        <f t="shared" ca="1" si="65"/>
        <v>-71.879872632996964</v>
      </c>
    </row>
    <row r="148" spans="1:28" x14ac:dyDescent="0.2">
      <c r="A148">
        <v>47000</v>
      </c>
      <c r="B148" t="str">
        <f t="shared" si="66"/>
        <v>47000i</v>
      </c>
      <c r="C148" t="str">
        <f t="shared" ca="1" si="52"/>
        <v>1+0.632356275607391i</v>
      </c>
      <c r="D148" t="str">
        <f t="shared" ca="1" si="53"/>
        <v>1+0.331984070365819i</v>
      </c>
      <c r="E148" t="str">
        <f t="shared" ca="1" si="54"/>
        <v>1+214.825860087085i</v>
      </c>
      <c r="F148">
        <f t="shared" ca="1" si="55"/>
        <v>69.486139019499433</v>
      </c>
      <c r="G148" t="str">
        <f t="shared" ca="1" si="67"/>
        <v>0.313101876568489-0.254092586299432i</v>
      </c>
      <c r="H148">
        <f t="shared" ca="1" si="68"/>
        <v>-7.8889060331125176</v>
      </c>
      <c r="I148">
        <f t="shared" ca="1" si="69"/>
        <v>-39.060478660297193</v>
      </c>
      <c r="K148" t="str">
        <f t="shared" ca="1" si="56"/>
        <v>1+0.632356275607391i</v>
      </c>
      <c r="L148" t="str">
        <f t="shared" ca="1" si="57"/>
        <v>1-0.173957897756803i</v>
      </c>
      <c r="M148" t="str">
        <f t="shared" ca="1" si="58"/>
        <v>1+202.354008194365i</v>
      </c>
      <c r="N148" t="str">
        <f t="shared" si="59"/>
        <v>1+0.509264822659389i</v>
      </c>
      <c r="O148">
        <f t="shared" ca="1" si="60"/>
        <v>30.873410267617786</v>
      </c>
      <c r="P148" t="str">
        <f t="shared" ca="1" si="75"/>
        <v>-0.0121448465983774-0.162819941272851i</v>
      </c>
      <c r="Q148">
        <f t="shared" ca="1" si="70"/>
        <v>-15.741751965442738</v>
      </c>
      <c r="R148">
        <f t="shared" ca="1" si="76"/>
        <v>-94.265830252649394</v>
      </c>
      <c r="T148" t="str">
        <f t="shared" si="61"/>
        <v>1+8.084i</v>
      </c>
      <c r="U148" t="str">
        <f t="shared" si="62"/>
        <v>1+0.47i</v>
      </c>
      <c r="V148" t="str">
        <f t="shared" si="63"/>
        <v>-0.00927758535378526i</v>
      </c>
      <c r="W148" t="str">
        <f t="shared" si="71"/>
        <v>0.0578585755456802-0.0364711158602549i</v>
      </c>
      <c r="X148">
        <f t="shared" si="72"/>
        <v>-23.299623374354432</v>
      </c>
      <c r="Y148">
        <f t="shared" si="73"/>
        <v>-32.225254802436574</v>
      </c>
      <c r="Z148">
        <f t="shared" si="74"/>
        <v>7480.2823253190809</v>
      </c>
      <c r="AA148">
        <f t="shared" ca="1" si="64"/>
        <v>-31.188529407466952</v>
      </c>
      <c r="AB148">
        <f t="shared" ca="1" si="65"/>
        <v>-71.285733462733759</v>
      </c>
    </row>
    <row r="149" spans="1:28" x14ac:dyDescent="0.2">
      <c r="A149">
        <v>48000</v>
      </c>
      <c r="B149" t="str">
        <f t="shared" si="66"/>
        <v>48000i</v>
      </c>
      <c r="C149" t="str">
        <f t="shared" ca="1" si="52"/>
        <v>1+0.645810664450101i</v>
      </c>
      <c r="D149" t="str">
        <f t="shared" ca="1" si="53"/>
        <v>1+0.339047561224666i</v>
      </c>
      <c r="E149" t="str">
        <f t="shared" ca="1" si="54"/>
        <v>1+219.396623067661i</v>
      </c>
      <c r="F149">
        <f t="shared" ca="1" si="55"/>
        <v>69.486139019499433</v>
      </c>
      <c r="G149" t="str">
        <f t="shared" ca="1" si="67"/>
        <v>0.313040075521288-0.245939870481756i</v>
      </c>
      <c r="H149">
        <f t="shared" ca="1" si="68"/>
        <v>-8.0002414323805109</v>
      </c>
      <c r="I149">
        <f t="shared" ca="1" si="69"/>
        <v>-38.154941805058542</v>
      </c>
      <c r="K149" t="str">
        <f t="shared" ca="1" si="56"/>
        <v>1+0.645810664450101i</v>
      </c>
      <c r="L149" t="str">
        <f t="shared" ca="1" si="57"/>
        <v>1-0.177659129623969i</v>
      </c>
      <c r="M149" t="str">
        <f t="shared" ca="1" si="58"/>
        <v>1+206.659412624032i</v>
      </c>
      <c r="N149" t="str">
        <f t="shared" si="59"/>
        <v>1+0.520100244418099i</v>
      </c>
      <c r="O149">
        <f t="shared" ca="1" si="60"/>
        <v>30.873410267617786</v>
      </c>
      <c r="P149" t="str">
        <f t="shared" ca="1" si="75"/>
        <v>-0.0123520199468012-0.159766556704169i</v>
      </c>
      <c r="Q149">
        <f t="shared" ca="1" si="70"/>
        <v>-15.904400733216653</v>
      </c>
      <c r="R149">
        <f t="shared" ca="1" si="76"/>
        <v>-94.420909995963214</v>
      </c>
      <c r="T149" t="str">
        <f t="shared" si="61"/>
        <v>1+8.256i</v>
      </c>
      <c r="U149" t="str">
        <f t="shared" si="62"/>
        <v>1+0.48i</v>
      </c>
      <c r="V149" t="str">
        <f t="shared" si="63"/>
        <v>-0.0090843023255814i</v>
      </c>
      <c r="W149" t="str">
        <f t="shared" si="71"/>
        <v>0.0574118456467173-0.0366419882360057i</v>
      </c>
      <c r="X149">
        <f t="shared" si="72"/>
        <v>-23.335985343387957</v>
      </c>
      <c r="Y149">
        <f t="shared" si="73"/>
        <v>-32.547258775656985</v>
      </c>
      <c r="Z149">
        <f t="shared" si="74"/>
        <v>7639.4372684109767</v>
      </c>
      <c r="AA149">
        <f t="shared" ca="1" si="64"/>
        <v>-31.336226775768466</v>
      </c>
      <c r="AB149">
        <f t="shared" ca="1" si="65"/>
        <v>-70.702200580715527</v>
      </c>
    </row>
    <row r="150" spans="1:28" x14ac:dyDescent="0.2">
      <c r="A150">
        <v>49000</v>
      </c>
      <c r="B150" t="str">
        <f t="shared" si="66"/>
        <v>49000i</v>
      </c>
      <c r="C150" t="str">
        <f t="shared" ca="1" si="52"/>
        <v>1+0.659265053292812i</v>
      </c>
      <c r="D150" t="str">
        <f t="shared" ca="1" si="53"/>
        <v>1+0.346111052083513i</v>
      </c>
      <c r="E150" t="str">
        <f t="shared" ca="1" si="54"/>
        <v>1+223.967386048237i</v>
      </c>
      <c r="F150">
        <f t="shared" ca="1" si="55"/>
        <v>69.486139019499433</v>
      </c>
      <c r="G150" t="str">
        <f t="shared" ca="1" si="67"/>
        <v>0.312982019366037-0.238060932447687i</v>
      </c>
      <c r="H150">
        <f t="shared" ca="1" si="68"/>
        <v>-8.1070413203692553</v>
      </c>
      <c r="I150">
        <f t="shared" ca="1" si="69"/>
        <v>-37.257408267921974</v>
      </c>
      <c r="K150" t="str">
        <f t="shared" ca="1" si="56"/>
        <v>1+0.659265053292812i</v>
      </c>
      <c r="L150" t="str">
        <f t="shared" ca="1" si="57"/>
        <v>1-0.181360361491135i</v>
      </c>
      <c r="M150" t="str">
        <f t="shared" ca="1" si="58"/>
        <v>1+210.9648170537i</v>
      </c>
      <c r="N150" t="str">
        <f t="shared" si="59"/>
        <v>1+0.53093566617681i</v>
      </c>
      <c r="O150">
        <f t="shared" ca="1" si="60"/>
        <v>30.873410267617786</v>
      </c>
      <c r="P150" t="str">
        <f t="shared" ca="1" si="75"/>
        <v>-0.0125578544728955-0.156838818384057i</v>
      </c>
      <c r="Q150">
        <f t="shared" ca="1" si="70"/>
        <v>-16.063175144848579</v>
      </c>
      <c r="R150">
        <f t="shared" ca="1" si="76"/>
        <v>-94.577823052912436</v>
      </c>
      <c r="T150" t="str">
        <f t="shared" si="61"/>
        <v>1+8.428i</v>
      </c>
      <c r="U150" t="str">
        <f t="shared" si="62"/>
        <v>1+0.49i</v>
      </c>
      <c r="V150" t="str">
        <f t="shared" si="63"/>
        <v>-0.00889890840056953i</v>
      </c>
      <c r="W150" t="str">
        <f t="shared" si="71"/>
        <v>0.0569627730696887-0.036810667204717i</v>
      </c>
      <c r="X150">
        <f t="shared" si="72"/>
        <v>-23.372626811123112</v>
      </c>
      <c r="Y150">
        <f t="shared" si="73"/>
        <v>-32.871483332810605</v>
      </c>
      <c r="Z150">
        <f t="shared" si="74"/>
        <v>7798.5922115028716</v>
      </c>
      <c r="AA150">
        <f t="shared" ca="1" si="64"/>
        <v>-31.479668131492367</v>
      </c>
      <c r="AB150">
        <f t="shared" ca="1" si="65"/>
        <v>-70.128891600732572</v>
      </c>
    </row>
    <row r="151" spans="1:28" x14ac:dyDescent="0.2">
      <c r="A151">
        <v>50000</v>
      </c>
      <c r="B151" t="str">
        <f t="shared" si="66"/>
        <v>50000i</v>
      </c>
      <c r="C151" t="str">
        <f t="shared" ca="1" si="52"/>
        <v>1+0.672719442135522i</v>
      </c>
      <c r="D151" t="str">
        <f t="shared" ca="1" si="53"/>
        <v>1+0.353174542942361i</v>
      </c>
      <c r="E151" t="str">
        <f t="shared" ca="1" si="54"/>
        <v>1+228.538149028814i</v>
      </c>
      <c r="F151">
        <f t="shared" ca="1" si="55"/>
        <v>69.486139019499433</v>
      </c>
      <c r="G151" t="str">
        <f t="shared" ca="1" si="67"/>
        <v>0.312927411537762-0.230439346827871i</v>
      </c>
      <c r="H151">
        <f t="shared" ca="1" si="68"/>
        <v>-8.2094868985905691</v>
      </c>
      <c r="I151">
        <f t="shared" ca="1" si="69"/>
        <v>-36.367883731003758</v>
      </c>
      <c r="K151" t="str">
        <f t="shared" ca="1" si="56"/>
        <v>1+0.672719442135522i</v>
      </c>
      <c r="L151" t="str">
        <f t="shared" ca="1" si="57"/>
        <v>1-0.185061593358301i</v>
      </c>
      <c r="M151" t="str">
        <f t="shared" ca="1" si="58"/>
        <v>1+215.270221483367i</v>
      </c>
      <c r="N151" t="str">
        <f t="shared" si="59"/>
        <v>1+0.54177108793552i</v>
      </c>
      <c r="O151">
        <f t="shared" ca="1" si="60"/>
        <v>30.873410267617786</v>
      </c>
      <c r="P151" t="str">
        <f t="shared" ca="1" si="75"/>
        <v>-0.0127623887976156-0.154028984097842i</v>
      </c>
      <c r="Q151">
        <f t="shared" ca="1" si="70"/>
        <v>-16.218237273670624</v>
      </c>
      <c r="R151">
        <f t="shared" ca="1" si="76"/>
        <v>-94.736540376421203</v>
      </c>
      <c r="T151" t="str">
        <f t="shared" si="61"/>
        <v>1+8.6i</v>
      </c>
      <c r="U151" t="str">
        <f t="shared" si="62"/>
        <v>1+0.5i</v>
      </c>
      <c r="V151" t="str">
        <f t="shared" si="63"/>
        <v>-0.00872093023255814i</v>
      </c>
      <c r="W151" t="str">
        <f t="shared" si="71"/>
        <v>0.0565116279069767-0.0369767441860465i</v>
      </c>
      <c r="X151">
        <f t="shared" si="72"/>
        <v>-23.409548108320703</v>
      </c>
      <c r="Y151">
        <f t="shared" si="73"/>
        <v>-33.197565792216466</v>
      </c>
      <c r="Z151">
        <f t="shared" si="74"/>
        <v>7957.7471545947674</v>
      </c>
      <c r="AA151">
        <f t="shared" ca="1" si="64"/>
        <v>-31.619035006911272</v>
      </c>
      <c r="AB151">
        <f t="shared" ca="1" si="65"/>
        <v>-69.565449523220224</v>
      </c>
    </row>
    <row r="152" spans="1:28" x14ac:dyDescent="0.2">
      <c r="A152">
        <v>51000</v>
      </c>
      <c r="B152" t="str">
        <f t="shared" si="66"/>
        <v>51000i</v>
      </c>
      <c r="C152" t="str">
        <f t="shared" ca="1" si="52"/>
        <v>1+0.686173830978233i</v>
      </c>
      <c r="D152" t="str">
        <f t="shared" ca="1" si="53"/>
        <v>1+0.360238033801208i</v>
      </c>
      <c r="E152" t="str">
        <f t="shared" ca="1" si="54"/>
        <v>1+233.10891200939i</v>
      </c>
      <c r="F152">
        <f t="shared" ca="1" si="55"/>
        <v>69.486139019499433</v>
      </c>
      <c r="G152" t="str">
        <f t="shared" ca="1" si="67"/>
        <v>0.312875984257409-0.223059976393728i</v>
      </c>
      <c r="H152">
        <f t="shared" ca="1" si="68"/>
        <v>-8.3077497702379794</v>
      </c>
      <c r="I152">
        <f t="shared" ca="1" si="69"/>
        <v>-35.486368180525801</v>
      </c>
      <c r="K152" t="str">
        <f t="shared" ca="1" si="56"/>
        <v>1+0.686173830978233i</v>
      </c>
      <c r="L152" t="str">
        <f t="shared" ca="1" si="57"/>
        <v>1-0.188762825225467i</v>
      </c>
      <c r="M152" t="str">
        <f t="shared" ca="1" si="58"/>
        <v>1+219.575625913034i</v>
      </c>
      <c r="N152" t="str">
        <f t="shared" si="59"/>
        <v>1+0.55260650969423i</v>
      </c>
      <c r="O152">
        <f t="shared" ca="1" si="60"/>
        <v>30.873410267617786</v>
      </c>
      <c r="P152" t="str">
        <f t="shared" ca="1" si="75"/>
        <v>-0.0129656504884732-0.151329925004152i</v>
      </c>
      <c r="Q152">
        <f t="shared" ca="1" si="70"/>
        <v>-16.36973974009323</v>
      </c>
      <c r="R152">
        <f t="shared" ca="1" si="76"/>
        <v>-94.897030536815976</v>
      </c>
      <c r="T152" t="str">
        <f t="shared" si="61"/>
        <v>1+8.772i</v>
      </c>
      <c r="U152" t="str">
        <f t="shared" si="62"/>
        <v>1+0.51i</v>
      </c>
      <c r="V152" t="str">
        <f t="shared" si="63"/>
        <v>-0.0085499316005472i</v>
      </c>
      <c r="W152" t="str">
        <f t="shared" si="71"/>
        <v>0.0560586738224911-0.0371398552500177i</v>
      </c>
      <c r="X152">
        <f t="shared" si="72"/>
        <v>-23.446748434558661</v>
      </c>
      <c r="Y152">
        <f t="shared" si="73"/>
        <v>-33.525172075190149</v>
      </c>
      <c r="Z152">
        <f t="shared" si="74"/>
        <v>8116.9020976866623</v>
      </c>
      <c r="AA152">
        <f t="shared" ca="1" si="64"/>
        <v>-31.75449820479664</v>
      </c>
      <c r="AB152">
        <f t="shared" ca="1" si="65"/>
        <v>-69.011540255715943</v>
      </c>
    </row>
    <row r="153" spans="1:28" x14ac:dyDescent="0.2">
      <c r="A153">
        <v>52000</v>
      </c>
      <c r="B153" t="str">
        <f t="shared" si="66"/>
        <v>52000i</v>
      </c>
      <c r="C153" t="str">
        <f t="shared" ca="1" si="52"/>
        <v>1+0.699628219820943i</v>
      </c>
      <c r="D153" t="str">
        <f t="shared" ca="1" si="53"/>
        <v>1+0.367301524660055i</v>
      </c>
      <c r="E153" t="str">
        <f t="shared" ca="1" si="54"/>
        <v>1+237.679674989966i</v>
      </c>
      <c r="F153">
        <f t="shared" ca="1" si="55"/>
        <v>69.486139019499433</v>
      </c>
      <c r="G153" t="str">
        <f t="shared" ca="1" si="67"/>
        <v>0.312827495242898-0.215908848211603i</v>
      </c>
      <c r="H153">
        <f t="shared" ca="1" si="68"/>
        <v>-8.4019926330408126</v>
      </c>
      <c r="I153">
        <f t="shared" ca="1" si="69"/>
        <v>-34.612856248449276</v>
      </c>
      <c r="K153" t="str">
        <f t="shared" ca="1" si="56"/>
        <v>1+0.699628219820943i</v>
      </c>
      <c r="L153" t="str">
        <f t="shared" ca="1" si="57"/>
        <v>1-0.192464057092633i</v>
      </c>
      <c r="M153" t="str">
        <f t="shared" ca="1" si="58"/>
        <v>1+223.881030342702i</v>
      </c>
      <c r="N153" t="str">
        <f t="shared" si="59"/>
        <v>1+0.563441931452941i</v>
      </c>
      <c r="O153">
        <f t="shared" ca="1" si="60"/>
        <v>30.873410267617786</v>
      </c>
      <c r="P153" t="str">
        <f t="shared" ca="1" si="75"/>
        <v>-0.0131676577540149-0.148735066734566i</v>
      </c>
      <c r="Q153">
        <f t="shared" ca="1" si="70"/>
        <v>-16.517826417466441</v>
      </c>
      <c r="R153">
        <f t="shared" ca="1" si="76"/>
        <v>-95.059259983503765</v>
      </c>
      <c r="T153" t="str">
        <f t="shared" si="61"/>
        <v>1+8.944i</v>
      </c>
      <c r="U153" t="str">
        <f t="shared" si="62"/>
        <v>1+0.52i</v>
      </c>
      <c r="V153" t="str">
        <f t="shared" si="63"/>
        <v>-0.00838550983899821i</v>
      </c>
      <c r="W153" t="str">
        <f t="shared" si="71"/>
        <v>0.0556041678870599-0.0372996771402694i</v>
      </c>
      <c r="X153">
        <f t="shared" si="72"/>
        <v>-23.484226004042714</v>
      </c>
      <c r="Y153">
        <f t="shared" si="73"/>
        <v>-33.853994177474831</v>
      </c>
      <c r="Z153">
        <f t="shared" si="74"/>
        <v>8276.0570407785581</v>
      </c>
      <c r="AA153">
        <f t="shared" ca="1" si="64"/>
        <v>-31.886218637083527</v>
      </c>
      <c r="AB153">
        <f t="shared" ca="1" si="65"/>
        <v>-68.466850425924108</v>
      </c>
    </row>
    <row r="154" spans="1:28" x14ac:dyDescent="0.2">
      <c r="A154">
        <v>53000</v>
      </c>
      <c r="B154" t="str">
        <f t="shared" si="66"/>
        <v>53000i</v>
      </c>
      <c r="C154" t="str">
        <f t="shared" ca="1" si="52"/>
        <v>1+0.713082608663654i</v>
      </c>
      <c r="D154" t="str">
        <f t="shared" ca="1" si="53"/>
        <v>1+0.374365015518902i</v>
      </c>
      <c r="E154" t="str">
        <f t="shared" ca="1" si="54"/>
        <v>1+242.250437970542i</v>
      </c>
      <c r="F154">
        <f t="shared" ca="1" si="55"/>
        <v>69.486139019499433</v>
      </c>
      <c r="G154" t="str">
        <f t="shared" ca="1" si="67"/>
        <v>0.312781724850392-0.20897304381542i</v>
      </c>
      <c r="H154">
        <f t="shared" ca="1" si="68"/>
        <v>-8.492369907046287</v>
      </c>
      <c r="I154">
        <f t="shared" ca="1" si="69"/>
        <v>-33.747337537721521</v>
      </c>
      <c r="K154" t="str">
        <f t="shared" ca="1" si="56"/>
        <v>1+0.713082608663654i</v>
      </c>
      <c r="L154" t="str">
        <f t="shared" ca="1" si="57"/>
        <v>1-0.196165288959799i</v>
      </c>
      <c r="M154" t="str">
        <f t="shared" ca="1" si="58"/>
        <v>1+228.186434772369i</v>
      </c>
      <c r="N154" t="str">
        <f t="shared" si="59"/>
        <v>1+0.574277353211651i</v>
      </c>
      <c r="O154">
        <f t="shared" ca="1" si="60"/>
        <v>30.873410267617786</v>
      </c>
      <c r="P154" t="str">
        <f t="shared" ca="1" si="75"/>
        <v>-0.0133684209105746-0.146238337140613i</v>
      </c>
      <c r="Q154">
        <f t="shared" ca="1" si="70"/>
        <v>-16.662633072062217</v>
      </c>
      <c r="R154">
        <f t="shared" ca="1" si="76"/>
        <v>-95.22319328817008</v>
      </c>
      <c r="T154" t="str">
        <f t="shared" si="61"/>
        <v>1+9.116i</v>
      </c>
      <c r="U154" t="str">
        <f t="shared" si="62"/>
        <v>1+0.53i</v>
      </c>
      <c r="V154" t="str">
        <f t="shared" si="63"/>
        <v>-0.00822729267222466i</v>
      </c>
      <c r="W154" t="str">
        <f t="shared" si="71"/>
        <v>0.0551483604369747-0.0374559237038213i</v>
      </c>
      <c r="X154">
        <f t="shared" si="72"/>
        <v>-23.521978173318693</v>
      </c>
      <c r="Y154">
        <f t="shared" si="73"/>
        <v>-34.183747911354367</v>
      </c>
      <c r="Z154">
        <f t="shared" si="74"/>
        <v>8435.211983870453</v>
      </c>
      <c r="AA154">
        <f t="shared" ca="1" si="64"/>
        <v>-32.014348080364982</v>
      </c>
      <c r="AB154">
        <f t="shared" ca="1" si="65"/>
        <v>-67.93108544907588</v>
      </c>
    </row>
    <row r="155" spans="1:28" x14ac:dyDescent="0.2">
      <c r="A155">
        <v>54000</v>
      </c>
      <c r="B155" t="str">
        <f t="shared" si="66"/>
        <v>54000i</v>
      </c>
      <c r="C155" t="str">
        <f t="shared" ca="1" si="52"/>
        <v>1+0.726536997506364i</v>
      </c>
      <c r="D155" t="str">
        <f t="shared" ca="1" si="53"/>
        <v>1+0.38142850637775i</v>
      </c>
      <c r="E155" t="str">
        <f t="shared" ca="1" si="54"/>
        <v>1+246.821200951119i</v>
      </c>
      <c r="F155">
        <f t="shared" ca="1" si="55"/>
        <v>69.486139019499433</v>
      </c>
      <c r="G155" t="str">
        <f t="shared" ca="1" si="67"/>
        <v>0.31273847358262-0.202240601580892i</v>
      </c>
      <c r="H155">
        <f t="shared" ca="1" si="68"/>
        <v>-8.5790283047293254</v>
      </c>
      <c r="I155">
        <f t="shared" ca="1" si="69"/>
        <v>-32.889796932182975</v>
      </c>
      <c r="K155" t="str">
        <f t="shared" ca="1" si="56"/>
        <v>1+0.726536997506364i</v>
      </c>
      <c r="L155" t="str">
        <f t="shared" ca="1" si="57"/>
        <v>1-0.199866520826965i</v>
      </c>
      <c r="M155" t="str">
        <f t="shared" ca="1" si="58"/>
        <v>1+232.491839202037i</v>
      </c>
      <c r="N155" t="str">
        <f t="shared" si="59"/>
        <v>1+0.585112774970362i</v>
      </c>
      <c r="O155">
        <f t="shared" ca="1" si="60"/>
        <v>30.873410267617786</v>
      </c>
      <c r="P155" t="str">
        <f t="shared" ca="1" si="75"/>
        <v>-0.0135679436536243-0.143834119827576i</v>
      </c>
      <c r="Q155">
        <f t="shared" ca="1" si="70"/>
        <v>-16.804287944590094</v>
      </c>
      <c r="R155">
        <f t="shared" ca="1" si="76"/>
        <v>-95.388793370907536</v>
      </c>
      <c r="T155" t="str">
        <f t="shared" si="61"/>
        <v>1+9.288i</v>
      </c>
      <c r="U155" t="str">
        <f t="shared" si="62"/>
        <v>1+0.54i</v>
      </c>
      <c r="V155" t="str">
        <f t="shared" si="63"/>
        <v>-0.0080749354005168i</v>
      </c>
      <c r="W155" t="str">
        <f t="shared" si="71"/>
        <v>0.0546914949548784-0.0376083426761511i</v>
      </c>
      <c r="X155">
        <f t="shared" si="72"/>
        <v>-23.560001553426773</v>
      </c>
      <c r="Y155">
        <f t="shared" si="73"/>
        <v>-34.514170884560016</v>
      </c>
      <c r="Z155">
        <f t="shared" si="74"/>
        <v>8594.3669269623479</v>
      </c>
      <c r="AA155">
        <f t="shared" ca="1" si="64"/>
        <v>-32.1390298581561</v>
      </c>
      <c r="AB155">
        <f t="shared" ca="1" si="65"/>
        <v>-67.403967816742991</v>
      </c>
    </row>
    <row r="156" spans="1:28" x14ac:dyDescent="0.2">
      <c r="A156">
        <v>55000</v>
      </c>
      <c r="B156" t="str">
        <f t="shared" si="66"/>
        <v>55000i</v>
      </c>
      <c r="C156" t="str">
        <f t="shared" ca="1" si="52"/>
        <v>1+0.739991386349075i</v>
      </c>
      <c r="D156" t="str">
        <f t="shared" ca="1" si="53"/>
        <v>1+0.388491997236597i</v>
      </c>
      <c r="E156" t="str">
        <f t="shared" ca="1" si="54"/>
        <v>1+251.391963931695i</v>
      </c>
      <c r="F156">
        <f t="shared" ca="1" si="55"/>
        <v>69.486139019499433</v>
      </c>
      <c r="G156" t="str">
        <f t="shared" ca="1" si="67"/>
        <v>0.312697559911408-0.195700429748569i</v>
      </c>
      <c r="H156">
        <f t="shared" ca="1" si="68"/>
        <v>-8.6621073498646552</v>
      </c>
      <c r="I156">
        <f t="shared" ca="1" si="69"/>
        <v>-32.040214892018767</v>
      </c>
      <c r="K156" t="str">
        <f t="shared" ca="1" si="56"/>
        <v>1+0.739991386349075i</v>
      </c>
      <c r="L156" t="str">
        <f t="shared" ca="1" si="57"/>
        <v>1-0.203567752694131i</v>
      </c>
      <c r="M156" t="str">
        <f t="shared" ca="1" si="58"/>
        <v>1+236.797243631704i</v>
      </c>
      <c r="N156" t="str">
        <f t="shared" si="59"/>
        <v>1+0.595948196729072i</v>
      </c>
      <c r="O156">
        <f t="shared" ca="1" si="60"/>
        <v>30.873410267617786</v>
      </c>
      <c r="P156" t="str">
        <f t="shared" ca="1" si="75"/>
        <v>-0.0137662241609641-0.141517212739735i</v>
      </c>
      <c r="Q156">
        <f t="shared" ca="1" si="70"/>
        <v>-16.942912279695388</v>
      </c>
      <c r="R156">
        <f t="shared" ca="1" si="76"/>
        <v>-95.556021710525641</v>
      </c>
      <c r="T156" t="str">
        <f t="shared" si="61"/>
        <v>1+9.46i</v>
      </c>
      <c r="U156" t="str">
        <f t="shared" si="62"/>
        <v>1+0.55i</v>
      </c>
      <c r="V156" t="str">
        <f t="shared" si="63"/>
        <v>-0.00792811839323467i</v>
      </c>
      <c r="W156" t="str">
        <f t="shared" si="71"/>
        <v>0.0542338079721466-0.0377567127779153i</v>
      </c>
      <c r="X156">
        <f t="shared" si="72"/>
        <v>-23.598292108634645</v>
      </c>
      <c r="Y156">
        <f t="shared" si="73"/>
        <v>-34.845020686849189</v>
      </c>
      <c r="Z156">
        <f t="shared" si="74"/>
        <v>8753.5218700542446</v>
      </c>
      <c r="AA156">
        <f t="shared" ca="1" si="64"/>
        <v>-32.2603994584993</v>
      </c>
      <c r="AB156">
        <f t="shared" ca="1" si="65"/>
        <v>-66.885235578867963</v>
      </c>
    </row>
    <row r="157" spans="1:28" x14ac:dyDescent="0.2">
      <c r="A157">
        <v>56000</v>
      </c>
      <c r="B157" t="str">
        <f t="shared" si="66"/>
        <v>56000i</v>
      </c>
      <c r="C157" t="str">
        <f t="shared" ca="1" si="52"/>
        <v>1+0.753445775191785i</v>
      </c>
      <c r="D157" t="str">
        <f t="shared" ca="1" si="53"/>
        <v>1+0.395555488095444i</v>
      </c>
      <c r="E157" t="str">
        <f t="shared" ca="1" si="54"/>
        <v>1+255.962726912271i</v>
      </c>
      <c r="F157">
        <f t="shared" ca="1" si="55"/>
        <v>69.486139019499433</v>
      </c>
      <c r="G157" t="str">
        <f t="shared" ca="1" si="67"/>
        <v>0.312658818369875-0.189342228764781i</v>
      </c>
      <c r="H157">
        <f t="shared" ca="1" si="68"/>
        <v>-8.7417398507738788</v>
      </c>
      <c r="I157">
        <f t="shared" ca="1" si="69"/>
        <v>-31.198567735526176</v>
      </c>
      <c r="K157" t="str">
        <f t="shared" ca="1" si="56"/>
        <v>1+0.753445775191785i</v>
      </c>
      <c r="L157" t="str">
        <f t="shared" ca="1" si="57"/>
        <v>1-0.207268984561297i</v>
      </c>
      <c r="M157" t="str">
        <f t="shared" ca="1" si="58"/>
        <v>1+241.102648061371i</v>
      </c>
      <c r="N157" t="str">
        <f t="shared" si="59"/>
        <v>1+0.606783618487782i</v>
      </c>
      <c r="O157">
        <f t="shared" ca="1" si="60"/>
        <v>30.873410267617786</v>
      </c>
      <c r="P157" t="str">
        <f t="shared" ca="1" si="75"/>
        <v>-0.0139632560507309-0.139282791166706i</v>
      </c>
      <c r="Q157">
        <f t="shared" ca="1" si="70"/>
        <v>-17.078620809068255</v>
      </c>
      <c r="R157">
        <f t="shared" ca="1" si="76"/>
        <v>-95.724838540134058</v>
      </c>
      <c r="T157" t="str">
        <f t="shared" si="61"/>
        <v>1+9.632i</v>
      </c>
      <c r="U157" t="str">
        <f t="shared" si="62"/>
        <v>1+0.56i</v>
      </c>
      <c r="V157" t="str">
        <f t="shared" si="63"/>
        <v>-0.00778654485049834i</v>
      </c>
      <c r="W157" t="str">
        <f t="shared" si="71"/>
        <v>0.0537755289918704-0.0379008410859457i</v>
      </c>
      <c r="X157">
        <f t="shared" si="72"/>
        <v>-23.636845243556049</v>
      </c>
      <c r="Y157">
        <f t="shared" si="73"/>
        <v>-35.176073259163303</v>
      </c>
      <c r="Z157">
        <f t="shared" si="74"/>
        <v>8912.6768131461395</v>
      </c>
      <c r="AA157">
        <f t="shared" ca="1" si="64"/>
        <v>-32.378585094329928</v>
      </c>
      <c r="AB157">
        <f t="shared" ca="1" si="65"/>
        <v>-66.374640994689486</v>
      </c>
    </row>
    <row r="158" spans="1:28" x14ac:dyDescent="0.2">
      <c r="A158">
        <v>57000</v>
      </c>
      <c r="B158" t="str">
        <f t="shared" si="66"/>
        <v>57000i</v>
      </c>
      <c r="C158" t="str">
        <f t="shared" ca="1" si="52"/>
        <v>1+0.766900164034496i</v>
      </c>
      <c r="D158" t="str">
        <f t="shared" ca="1" si="53"/>
        <v>1+0.402618978954291i</v>
      </c>
      <c r="E158" t="str">
        <f t="shared" ca="1" si="54"/>
        <v>1+260.533489892847i</v>
      </c>
      <c r="F158">
        <f t="shared" ca="1" si="55"/>
        <v>69.486139019499433</v>
      </c>
      <c r="G158" t="str">
        <f t="shared" ca="1" si="67"/>
        <v>0.312622097876858-0.183156421796338i</v>
      </c>
      <c r="H158">
        <f t="shared" ca="1" si="68"/>
        <v>-8.8180523328501703</v>
      </c>
      <c r="I158">
        <f t="shared" ca="1" si="69"/>
        <v>-30.364827907864392</v>
      </c>
      <c r="K158" t="str">
        <f t="shared" ca="1" si="56"/>
        <v>1+0.766900164034496i</v>
      </c>
      <c r="L158" t="str">
        <f t="shared" ca="1" si="57"/>
        <v>1-0.210970216428463i</v>
      </c>
      <c r="M158" t="str">
        <f t="shared" ca="1" si="58"/>
        <v>1+245.408052491039i</v>
      </c>
      <c r="N158" t="str">
        <f t="shared" si="59"/>
        <v>1+0.617619040246493i</v>
      </c>
      <c r="O158">
        <f t="shared" ca="1" si="60"/>
        <v>30.873410267617786</v>
      </c>
      <c r="P158" t="str">
        <f t="shared" ca="1" si="75"/>
        <v>-0.0141590292137003-0.137126374629007i</v>
      </c>
      <c r="Q158">
        <f t="shared" ca="1" si="70"/>
        <v>-17.211522193085646</v>
      </c>
      <c r="R158">
        <f t="shared" ca="1" si="76"/>
        <v>-95.89520302896743</v>
      </c>
      <c r="T158" t="str">
        <f t="shared" si="61"/>
        <v>1+9.804i</v>
      </c>
      <c r="U158" t="str">
        <f t="shared" si="62"/>
        <v>1+0.57i</v>
      </c>
      <c r="V158" t="str">
        <f t="shared" si="63"/>
        <v>-0.0076499388004896i</v>
      </c>
      <c r="W158" t="str">
        <f t="shared" si="71"/>
        <v>0.0533168804315201-0.038040560646456i</v>
      </c>
      <c r="X158">
        <f t="shared" si="72"/>
        <v>-23.675655880184976</v>
      </c>
      <c r="Y158">
        <f t="shared" si="73"/>
        <v>-35.507121423691899</v>
      </c>
      <c r="Z158">
        <f t="shared" si="74"/>
        <v>9071.8317562380344</v>
      </c>
      <c r="AA158">
        <f t="shared" ca="1" si="64"/>
        <v>-32.493708213035148</v>
      </c>
      <c r="AB158">
        <f t="shared" ca="1" si="65"/>
        <v>-65.871949331556294</v>
      </c>
    </row>
    <row r="159" spans="1:28" x14ac:dyDescent="0.2">
      <c r="A159">
        <v>58000</v>
      </c>
      <c r="B159" t="str">
        <f t="shared" si="66"/>
        <v>58000i</v>
      </c>
      <c r="C159" t="str">
        <f t="shared" ca="1" si="52"/>
        <v>1+0.780354552877206i</v>
      </c>
      <c r="D159" t="str">
        <f t="shared" ca="1" si="53"/>
        <v>1+0.409682469813138i</v>
      </c>
      <c r="E159" t="str">
        <f t="shared" ca="1" si="54"/>
        <v>1+265.104252873424i</v>
      </c>
      <c r="F159">
        <f t="shared" ca="1" si="55"/>
        <v>69.486139019499433</v>
      </c>
      <c r="G159" t="str">
        <f t="shared" ca="1" si="67"/>
        <v>0.312587260261762-0.177134092432605i</v>
      </c>
      <c r="H159">
        <f t="shared" ca="1" si="68"/>
        <v>-8.8911654346587596</v>
      </c>
      <c r="I159">
        <f t="shared" ca="1" si="69"/>
        <v>-29.538964237382821</v>
      </c>
      <c r="K159" t="str">
        <f t="shared" ca="1" si="56"/>
        <v>1+0.780354552877206i</v>
      </c>
      <c r="L159" t="str">
        <f t="shared" ca="1" si="57"/>
        <v>1-0.214671448295629i</v>
      </c>
      <c r="M159" t="str">
        <f t="shared" ca="1" si="58"/>
        <v>1+249.713456920706i</v>
      </c>
      <c r="N159" t="str">
        <f t="shared" si="59"/>
        <v>1+0.628454462005203i</v>
      </c>
      <c r="O159">
        <f t="shared" ca="1" si="60"/>
        <v>30.873410267617786</v>
      </c>
      <c r="P159" t="str">
        <f t="shared" ca="1" si="75"/>
        <v>-0.0143535305364747-0.135043797175691i</v>
      </c>
      <c r="Q159">
        <f t="shared" ca="1" si="70"/>
        <v>-17.341719425302877</v>
      </c>
      <c r="R159">
        <f t="shared" ca="1" si="76"/>
        <v>-96.0670734513306</v>
      </c>
      <c r="T159" t="str">
        <f t="shared" si="61"/>
        <v>1+9.976i</v>
      </c>
      <c r="U159" t="str">
        <f t="shared" si="62"/>
        <v>1+0.58i</v>
      </c>
      <c r="V159" t="str">
        <f t="shared" si="63"/>
        <v>-0.00751804330392943i</v>
      </c>
      <c r="W159" t="str">
        <f t="shared" si="71"/>
        <v>0.0528580775843467-0.0381757283028505i</v>
      </c>
      <c r="X159">
        <f t="shared" si="72"/>
        <v>-23.714718526147387</v>
      </c>
      <c r="Y159">
        <f t="shared" si="73"/>
        <v>-35.837973556071482</v>
      </c>
      <c r="Z159">
        <f t="shared" si="74"/>
        <v>9230.9866993299293</v>
      </c>
      <c r="AA159">
        <f t="shared" ca="1" si="64"/>
        <v>-32.605883960806146</v>
      </c>
      <c r="AB159">
        <f t="shared" ca="1" si="65"/>
        <v>-65.376937793454303</v>
      </c>
    </row>
    <row r="160" spans="1:28" x14ac:dyDescent="0.2">
      <c r="A160">
        <v>59000</v>
      </c>
      <c r="B160" t="str">
        <f t="shared" si="66"/>
        <v>59000i</v>
      </c>
      <c r="C160" t="str">
        <f t="shared" ca="1" si="52"/>
        <v>1+0.793808941719916i</v>
      </c>
      <c r="D160" t="str">
        <f t="shared" ca="1" si="53"/>
        <v>1+0.416745960671986i</v>
      </c>
      <c r="E160" t="str">
        <f t="shared" ca="1" si="54"/>
        <v>1+269.675015854i</v>
      </c>
      <c r="F160">
        <f t="shared" ca="1" si="55"/>
        <v>69.486139019499433</v>
      </c>
      <c r="G160" t="str">
        <f t="shared" ca="1" si="67"/>
        <v>0.312554178962932-0.171266928722317i</v>
      </c>
      <c r="H160">
        <f t="shared" ca="1" si="68"/>
        <v>-8.961194271385386</v>
      </c>
      <c r="I160">
        <f t="shared" ca="1" si="69"/>
        <v>-28.720942180057396</v>
      </c>
      <c r="K160" t="str">
        <f t="shared" ca="1" si="56"/>
        <v>1+0.793808941719916i</v>
      </c>
      <c r="L160" t="str">
        <f t="shared" ca="1" si="57"/>
        <v>1-0.218372680162795i</v>
      </c>
      <c r="M160" t="str">
        <f t="shared" ca="1" si="58"/>
        <v>1+254.018861350373i</v>
      </c>
      <c r="N160" t="str">
        <f t="shared" si="59"/>
        <v>1+0.639289883763914i</v>
      </c>
      <c r="O160">
        <f t="shared" ca="1" si="60"/>
        <v>30.873410267617786</v>
      </c>
      <c r="P160" t="str">
        <f t="shared" ca="1" si="75"/>
        <v>-0.0145467445297047-0.133031180690228i</v>
      </c>
      <c r="Q160">
        <f t="shared" ca="1" si="70"/>
        <v>-17.469310203587966</v>
      </c>
      <c r="R160">
        <f t="shared" ca="1" si="76"/>
        <v>-96.240407343449576</v>
      </c>
      <c r="T160" t="str">
        <f t="shared" si="61"/>
        <v>1+10.148i</v>
      </c>
      <c r="U160" t="str">
        <f t="shared" si="62"/>
        <v>1+0.59i</v>
      </c>
      <c r="V160" t="str">
        <f t="shared" si="63"/>
        <v>-0.00739061884115097i</v>
      </c>
      <c r="W160" t="str">
        <f t="shared" si="71"/>
        <v>0.0523993285985616-0.0383062227143023i</v>
      </c>
      <c r="X160">
        <f t="shared" si="72"/>
        <v>-23.75402733528048</v>
      </c>
      <c r="Y160">
        <f t="shared" si="73"/>
        <v>-36.168452383428104</v>
      </c>
      <c r="Z160">
        <f t="shared" si="74"/>
        <v>9390.141642421826</v>
      </c>
      <c r="AA160">
        <f t="shared" ca="1" si="64"/>
        <v>-32.715221606665864</v>
      </c>
      <c r="AB160">
        <f t="shared" ca="1" si="65"/>
        <v>-64.889394563485496</v>
      </c>
    </row>
    <row r="161" spans="1:28" x14ac:dyDescent="0.2">
      <c r="A161">
        <v>60000</v>
      </c>
      <c r="B161" t="str">
        <f t="shared" si="66"/>
        <v>60000i</v>
      </c>
      <c r="C161" t="str">
        <f t="shared" ca="1" si="52"/>
        <v>1+0.807263330562627i</v>
      </c>
      <c r="D161" t="str">
        <f t="shared" ca="1" si="53"/>
        <v>1+0.423809451530833i</v>
      </c>
      <c r="E161" t="str">
        <f t="shared" ca="1" si="54"/>
        <v>1+274.245778834576i</v>
      </c>
      <c r="F161">
        <f t="shared" ca="1" si="55"/>
        <v>69.486139019499433</v>
      </c>
      <c r="G161" t="str">
        <f t="shared" ca="1" si="67"/>
        <v>0.312522737876571-0.165547172806157i</v>
      </c>
      <c r="H161">
        <f t="shared" ca="1" si="68"/>
        <v>-9.0282487689540041</v>
      </c>
      <c r="I161">
        <f t="shared" ca="1" si="69"/>
        <v>-27.910724052521179</v>
      </c>
      <c r="K161" t="str">
        <f t="shared" ca="1" si="56"/>
        <v>1+0.807263330562627i</v>
      </c>
      <c r="L161" t="str">
        <f t="shared" ca="1" si="57"/>
        <v>1-0.222073912029961i</v>
      </c>
      <c r="M161" t="str">
        <f t="shared" ca="1" si="58"/>
        <v>1+258.324265780041i</v>
      </c>
      <c r="N161" t="str">
        <f t="shared" si="59"/>
        <v>1+0.650125305522624i</v>
      </c>
      <c r="O161">
        <f t="shared" ca="1" si="60"/>
        <v>30.873410267617786</v>
      </c>
      <c r="P161" t="str">
        <f t="shared" ca="1" si="75"/>
        <v>-0.0147386538734858-0.13108491085463i</v>
      </c>
      <c r="Q161">
        <f t="shared" ca="1" si="70"/>
        <v>-17.594387271240581</v>
      </c>
      <c r="R161">
        <f t="shared" ca="1" si="76"/>
        <v>-96.415161648954054</v>
      </c>
      <c r="T161" t="str">
        <f t="shared" si="61"/>
        <v>1+10.32i</v>
      </c>
      <c r="U161" t="str">
        <f t="shared" si="62"/>
        <v>1+0.6i</v>
      </c>
      <c r="V161" t="str">
        <f t="shared" si="63"/>
        <v>-0.00726744186046512i</v>
      </c>
      <c r="W161" t="str">
        <f t="shared" si="71"/>
        <v>0.0519408344733242-0.0384319425444596i</v>
      </c>
      <c r="X161">
        <f t="shared" si="72"/>
        <v>-23.793576161490048</v>
      </c>
      <c r="Y161">
        <f t="shared" si="73"/>
        <v>-36.498393894087663</v>
      </c>
      <c r="Z161">
        <f t="shared" si="74"/>
        <v>9549.2965855137209</v>
      </c>
      <c r="AA161">
        <f t="shared" ca="1" si="64"/>
        <v>-32.821824930444052</v>
      </c>
      <c r="AB161">
        <f t="shared" ca="1" si="65"/>
        <v>-64.409117946608845</v>
      </c>
    </row>
    <row r="162" spans="1:28" x14ac:dyDescent="0.2">
      <c r="A162">
        <v>61000</v>
      </c>
      <c r="B162" t="str">
        <f t="shared" si="66"/>
        <v>61000i</v>
      </c>
      <c r="C162" t="str">
        <f t="shared" ca="1" si="52"/>
        <v>1+0.820717719405337i</v>
      </c>
      <c r="D162" t="str">
        <f t="shared" ca="1" si="53"/>
        <v>1+0.43087294238968i</v>
      </c>
      <c r="E162" t="str">
        <f t="shared" ca="1" si="54"/>
        <v>1+278.816541815153i</v>
      </c>
      <c r="F162">
        <f t="shared" ca="1" si="55"/>
        <v>69.486139019499433</v>
      </c>
      <c r="G162" t="str">
        <f t="shared" ca="1" si="67"/>
        <v>0.312492830336667-0.159967575503047i</v>
      </c>
      <c r="H162">
        <f t="shared" ca="1" si="68"/>
        <v>-9.0924339717409026</v>
      </c>
      <c r="I162">
        <f t="shared" ca="1" si="69"/>
        <v>-27.108269254133933</v>
      </c>
      <c r="K162" t="str">
        <f t="shared" ca="1" si="56"/>
        <v>1+0.820717719405337i</v>
      </c>
      <c r="L162" t="str">
        <f t="shared" ca="1" si="57"/>
        <v>1-0.225775143897127i</v>
      </c>
      <c r="M162" t="str">
        <f t="shared" ca="1" si="58"/>
        <v>1+262.629670209708i</v>
      </c>
      <c r="N162" t="str">
        <f t="shared" si="59"/>
        <v>1+0.660960727281334i</v>
      </c>
      <c r="O162">
        <f t="shared" ca="1" si="60"/>
        <v>30.873410267617786</v>
      </c>
      <c r="P162" t="str">
        <f t="shared" ca="1" si="75"/>
        <v>-0.0149292398903575-0.129201615467683i</v>
      </c>
      <c r="Q162">
        <f t="shared" ca="1" si="70"/>
        <v>-17.717038731047111</v>
      </c>
      <c r="R162">
        <f t="shared" ca="1" si="76"/>
        <v>-96.591292853654096</v>
      </c>
      <c r="T162" t="str">
        <f t="shared" si="61"/>
        <v>1+10.492i</v>
      </c>
      <c r="U162" t="str">
        <f t="shared" si="62"/>
        <v>1+0.61i</v>
      </c>
      <c r="V162" t="str">
        <f t="shared" si="63"/>
        <v>-0.00714830346930995i</v>
      </c>
      <c r="W162" t="str">
        <f t="shared" si="71"/>
        <v>0.051482789070564-0.038552804802354i</v>
      </c>
      <c r="X162">
        <f t="shared" si="72"/>
        <v>-23.833358606701381</v>
      </c>
      <c r="Y162">
        <f t="shared" si="73"/>
        <v>-36.82764634659231</v>
      </c>
      <c r="Z162">
        <f t="shared" si="74"/>
        <v>9708.4515286056157</v>
      </c>
      <c r="AA162">
        <f t="shared" ca="1" si="64"/>
        <v>-32.925792578442284</v>
      </c>
      <c r="AB162">
        <f t="shared" ca="1" si="65"/>
        <v>-63.935915600726247</v>
      </c>
    </row>
    <row r="163" spans="1:28" x14ac:dyDescent="0.2">
      <c r="A163">
        <v>62000</v>
      </c>
      <c r="B163" t="str">
        <f t="shared" si="66"/>
        <v>62000i</v>
      </c>
      <c r="C163" t="str">
        <f t="shared" ca="1" si="52"/>
        <v>1+0.834172108248048i</v>
      </c>
      <c r="D163" t="str">
        <f t="shared" ca="1" si="53"/>
        <v>1+0.437936433248527i</v>
      </c>
      <c r="E163" t="str">
        <f t="shared" ca="1" si="54"/>
        <v>1+283.387304795729i</v>
      </c>
      <c r="F163">
        <f t="shared" ca="1" si="55"/>
        <v>69.486139019499433</v>
      </c>
      <c r="G163" t="str">
        <f t="shared" ca="1" si="67"/>
        <v>0.312464358209137-0.154521355290903i</v>
      </c>
      <c r="H163">
        <f t="shared" ca="1" si="68"/>
        <v>-9.1538503264741706</v>
      </c>
      <c r="I163">
        <f t="shared" ca="1" si="69"/>
        <v>-26.313534478506675</v>
      </c>
      <c r="K163" t="str">
        <f t="shared" ca="1" si="56"/>
        <v>1+0.834172108248048i</v>
      </c>
      <c r="L163" t="str">
        <f t="shared" ca="1" si="57"/>
        <v>1-0.229476375764293i</v>
      </c>
      <c r="M163" t="str">
        <f t="shared" ca="1" si="58"/>
        <v>1+266.935074639375i</v>
      </c>
      <c r="N163" t="str">
        <f t="shared" si="59"/>
        <v>1+0.671796149040045i</v>
      </c>
      <c r="O163">
        <f t="shared" ca="1" si="60"/>
        <v>30.873410267617786</v>
      </c>
      <c r="P163" t="str">
        <f t="shared" ca="1" si="75"/>
        <v>-0.0151184829549055-0.127378144852382i</v>
      </c>
      <c r="Q163">
        <f t="shared" ca="1" si="70"/>
        <v>-17.837348334882233</v>
      </c>
      <c r="R163">
        <f t="shared" ca="1" si="76"/>
        <v>-96.768757110226474</v>
      </c>
      <c r="T163" t="str">
        <f t="shared" si="61"/>
        <v>1+10.664i</v>
      </c>
      <c r="U163" t="str">
        <f t="shared" si="62"/>
        <v>1+0.62i</v>
      </c>
      <c r="V163" t="str">
        <f t="shared" si="63"/>
        <v>-0.00703300825206302i</v>
      </c>
      <c r="W163" t="str">
        <f t="shared" si="71"/>
        <v>0.0510253791416649-0.0386687433198953i</v>
      </c>
      <c r="X163">
        <f t="shared" si="72"/>
        <v>-23.873368063606001</v>
      </c>
      <c r="Y163">
        <f t="shared" si="73"/>
        <v>-37.156069367219438</v>
      </c>
      <c r="Z163">
        <f t="shared" si="74"/>
        <v>9867.6064716975106</v>
      </c>
      <c r="AA163">
        <f t="shared" ca="1" si="64"/>
        <v>-33.027218390080172</v>
      </c>
      <c r="AB163">
        <f t="shared" ca="1" si="65"/>
        <v>-63.469603845726112</v>
      </c>
    </row>
    <row r="164" spans="1:28" x14ac:dyDescent="0.2">
      <c r="A164">
        <v>63000</v>
      </c>
      <c r="B164" t="str">
        <f t="shared" si="66"/>
        <v>63000i</v>
      </c>
      <c r="C164" t="str">
        <f t="shared" ca="1" si="52"/>
        <v>1+0.847626497090758i</v>
      </c>
      <c r="D164" t="str">
        <f t="shared" ca="1" si="53"/>
        <v>1+0.444999924107374i</v>
      </c>
      <c r="E164" t="str">
        <f t="shared" ca="1" si="54"/>
        <v>1+287.958067776305i</v>
      </c>
      <c r="F164">
        <f t="shared" ca="1" si="55"/>
        <v>69.486139019499433</v>
      </c>
      <c r="G164" t="str">
        <f t="shared" ca="1" si="67"/>
        <v>0.312437231085797-0.149202161193643i</v>
      </c>
      <c r="H164">
        <f t="shared" ca="1" si="68"/>
        <v>-9.2125939446100631</v>
      </c>
      <c r="I164">
        <f t="shared" ca="1" si="69"/>
        <v>-25.52647391487487</v>
      </c>
      <c r="K164" t="str">
        <f t="shared" ca="1" si="56"/>
        <v>1+0.847626497090758i</v>
      </c>
      <c r="L164" t="str">
        <f t="shared" ca="1" si="57"/>
        <v>1-0.233177607631459i</v>
      </c>
      <c r="M164" t="str">
        <f t="shared" ca="1" si="58"/>
        <v>1+271.240479069043i</v>
      </c>
      <c r="N164" t="str">
        <f t="shared" si="59"/>
        <v>1+0.682631570798755i</v>
      </c>
      <c r="O164">
        <f t="shared" ca="1" si="60"/>
        <v>30.873410267617786</v>
      </c>
      <c r="P164" t="str">
        <f t="shared" ca="1" si="75"/>
        <v>-0.0153063628477619-0.125611554121267i</v>
      </c>
      <c r="Q164">
        <f t="shared" ca="1" si="70"/>
        <v>-17.955395751172549</v>
      </c>
      <c r="R164">
        <f t="shared" ca="1" si="76"/>
        <v>-96.947510353388736</v>
      </c>
      <c r="T164" t="str">
        <f t="shared" si="61"/>
        <v>1+10.836i</v>
      </c>
      <c r="U164" t="str">
        <f t="shared" si="62"/>
        <v>1+0.63i</v>
      </c>
      <c r="V164" t="str">
        <f t="shared" si="63"/>
        <v>-0.00692137320044297i</v>
      </c>
      <c r="W164" t="str">
        <f t="shared" si="71"/>
        <v>0.0505687843680442-0.0387797073523108i</v>
      </c>
      <c r="X164">
        <f t="shared" si="72"/>
        <v>-23.913597753810869</v>
      </c>
      <c r="Y164">
        <f t="shared" si="73"/>
        <v>-37.483533126541658</v>
      </c>
      <c r="Z164">
        <f t="shared" si="74"/>
        <v>10026.761414789407</v>
      </c>
      <c r="AA164">
        <f t="shared" ca="1" si="64"/>
        <v>-33.126191698420932</v>
      </c>
      <c r="AB164">
        <f t="shared" ca="1" si="65"/>
        <v>-63.010007041416529</v>
      </c>
    </row>
    <row r="165" spans="1:28" x14ac:dyDescent="0.2">
      <c r="A165">
        <v>64000</v>
      </c>
      <c r="B165" t="str">
        <f t="shared" si="66"/>
        <v>64000i</v>
      </c>
      <c r="C165" t="str">
        <f t="shared" ca="1" si="52"/>
        <v>1+0.861080885933469i</v>
      </c>
      <c r="D165" t="str">
        <f t="shared" ca="1" si="53"/>
        <v>1+0.452063414966222i</v>
      </c>
      <c r="E165" t="str">
        <f t="shared" ca="1" si="54"/>
        <v>1+292.528830756881i</v>
      </c>
      <c r="F165">
        <f t="shared" ca="1" si="55"/>
        <v>69.486139019499433</v>
      </c>
      <c r="G165" t="str">
        <f t="shared" ca="1" si="67"/>
        <v>0.312411365565809-0.144004039147233i</v>
      </c>
      <c r="H165">
        <f t="shared" ca="1" si="68"/>
        <v>-9.2687568452194213</v>
      </c>
      <c r="I165">
        <f t="shared" ca="1" si="69"/>
        <v>-24.74703943968936</v>
      </c>
      <c r="K165" t="str">
        <f t="shared" ca="1" si="56"/>
        <v>1+0.861080885933469i</v>
      </c>
      <c r="L165" t="str">
        <f t="shared" ca="1" si="57"/>
        <v>1-0.236878839498625i</v>
      </c>
      <c r="M165" t="str">
        <f t="shared" ca="1" si="58"/>
        <v>1+275.54588349871i</v>
      </c>
      <c r="N165" t="str">
        <f t="shared" si="59"/>
        <v>1+0.693466992557466i</v>
      </c>
      <c r="O165">
        <f t="shared" ca="1" si="60"/>
        <v>30.873410267617786</v>
      </c>
      <c r="P165" t="str">
        <f t="shared" ca="1" si="75"/>
        <v>-0.015492859060757-0.123899087097246i</v>
      </c>
      <c r="Q165">
        <f t="shared" ca="1" si="70"/>
        <v>-18.071256812279547</v>
      </c>
      <c r="R165">
        <f t="shared" ca="1" si="76"/>
        <v>-97.127508406095842</v>
      </c>
      <c r="T165" t="str">
        <f t="shared" si="61"/>
        <v>1+11.008i</v>
      </c>
      <c r="U165" t="str">
        <f t="shared" si="62"/>
        <v>1+0.64i</v>
      </c>
      <c r="V165" t="str">
        <f t="shared" si="63"/>
        <v>-0.00681322674418605i</v>
      </c>
      <c r="W165" t="str">
        <f t="shared" si="71"/>
        <v>0.0501131774146715-0.0388856602895758i</v>
      </c>
      <c r="X165">
        <f t="shared" si="72"/>
        <v>-23.954040761915309</v>
      </c>
      <c r="Y165">
        <f t="shared" si="73"/>
        <v>-37.809917586723238</v>
      </c>
      <c r="Z165">
        <f t="shared" si="74"/>
        <v>10185.916357881302</v>
      </c>
      <c r="AA165">
        <f t="shared" ca="1" si="64"/>
        <v>-33.22279760713473</v>
      </c>
      <c r="AB165">
        <f t="shared" ca="1" si="65"/>
        <v>-62.556957026412597</v>
      </c>
    </row>
    <row r="166" spans="1:28" x14ac:dyDescent="0.2">
      <c r="A166">
        <v>65000</v>
      </c>
      <c r="B166" t="str">
        <f t="shared" si="66"/>
        <v>65000i</v>
      </c>
      <c r="C166" t="str">
        <f t="shared" ca="1" si="52"/>
        <v>1+0.874535274776179i</v>
      </c>
      <c r="D166" t="str">
        <f t="shared" ca="1" si="53"/>
        <v>1+0.459126905825069i</v>
      </c>
      <c r="E166" t="str">
        <f t="shared" ca="1" si="54"/>
        <v>1+297.099593737458i</v>
      </c>
      <c r="F166">
        <f t="shared" ca="1" si="55"/>
        <v>69.486139019499433</v>
      </c>
      <c r="G166" t="str">
        <f t="shared" ca="1" si="67"/>
        <v>0.312386684613887-0.138921401470156i</v>
      </c>
      <c r="H166">
        <f t="shared" ca="1" si="68"/>
        <v>-9.3224271801926477</v>
      </c>
      <c r="I166">
        <f t="shared" ca="1" si="69"/>
        <v>-23.975180798787289</v>
      </c>
      <c r="K166" t="str">
        <f t="shared" ca="1" si="56"/>
        <v>1+0.874535274776179i</v>
      </c>
      <c r="L166" t="str">
        <f t="shared" ca="1" si="57"/>
        <v>1-0.240580071365791i</v>
      </c>
      <c r="M166" t="str">
        <f t="shared" ca="1" si="58"/>
        <v>1+279.851287928377i</v>
      </c>
      <c r="N166" t="str">
        <f t="shared" si="59"/>
        <v>1+0.704302414316176i</v>
      </c>
      <c r="O166">
        <f t="shared" ca="1" si="60"/>
        <v>30.873410267617786</v>
      </c>
      <c r="P166" t="str">
        <f t="shared" ca="1" si="75"/>
        <v>-0.0156779510591131-0.122238161712358i</v>
      </c>
      <c r="Q166">
        <f t="shared" ca="1" si="70"/>
        <v>-18.185003743634724</v>
      </c>
      <c r="R166">
        <f t="shared" ca="1" si="76"/>
        <v>-97.308707077270483</v>
      </c>
      <c r="T166" t="str">
        <f t="shared" si="61"/>
        <v>1+11.18i</v>
      </c>
      <c r="U166" t="str">
        <f t="shared" si="62"/>
        <v>1+0.65i</v>
      </c>
      <c r="V166" t="str">
        <f t="shared" si="63"/>
        <v>-0.00670840787119857i</v>
      </c>
      <c r="W166" t="str">
        <f t="shared" si="71"/>
        <v>0.0496587239955859-0.0389865784683294i</v>
      </c>
      <c r="X166">
        <f t="shared" si="72"/>
        <v>-23.994690065971888</v>
      </c>
      <c r="Y166">
        <f t="shared" si="73"/>
        <v>-38.135111812248375</v>
      </c>
      <c r="Z166">
        <f t="shared" si="74"/>
        <v>10345.071300973197</v>
      </c>
      <c r="AA166">
        <f t="shared" ca="1" si="64"/>
        <v>-33.317117246164536</v>
      </c>
      <c r="AB166">
        <f t="shared" ca="1" si="65"/>
        <v>-62.110292611035661</v>
      </c>
    </row>
    <row r="167" spans="1:28" x14ac:dyDescent="0.2">
      <c r="A167">
        <v>66000</v>
      </c>
      <c r="B167" t="str">
        <f t="shared" si="66"/>
        <v>66000i</v>
      </c>
      <c r="C167" t="str">
        <f t="shared" ca="1" si="52"/>
        <v>1+0.88798966361889i</v>
      </c>
      <c r="D167" t="str">
        <f t="shared" ca="1" si="53"/>
        <v>1+0.466190396683916i</v>
      </c>
      <c r="E167" t="str">
        <f t="shared" ca="1" si="54"/>
        <v>1+301.670356718034i</v>
      </c>
      <c r="F167">
        <f t="shared" ca="1" si="55"/>
        <v>69.486139019499433</v>
      </c>
      <c r="G167" t="str">
        <f t="shared" ca="1" si="67"/>
        <v>0.312363116986068-0.133948999109063i</v>
      </c>
      <c r="H167">
        <f t="shared" ca="1" si="68"/>
        <v>-9.3736894433729105</v>
      </c>
      <c r="I167">
        <f t="shared" ca="1" si="69"/>
        <v>-23.2108457804826</v>
      </c>
      <c r="K167" t="str">
        <f t="shared" ca="1" si="56"/>
        <v>1+0.88798966361889i</v>
      </c>
      <c r="L167" t="str">
        <f t="shared" ca="1" si="57"/>
        <v>1-0.244281303232957i</v>
      </c>
      <c r="M167" t="str">
        <f t="shared" ca="1" si="58"/>
        <v>1+284.156692358045i</v>
      </c>
      <c r="N167" t="str">
        <f t="shared" si="59"/>
        <v>1+0.715137836074886i</v>
      </c>
      <c r="O167">
        <f t="shared" ca="1" si="60"/>
        <v>30.873410267617786</v>
      </c>
      <c r="P167" t="str">
        <f t="shared" ca="1" si="75"/>
        <v>-0.0158616185058207-0.120626356728444i</v>
      </c>
      <c r="Q167">
        <f t="shared" ca="1" si="70"/>
        <v>-18.296705376260523</v>
      </c>
      <c r="R167">
        <f t="shared" ca="1" si="76"/>
        <v>-97.491062251547589</v>
      </c>
      <c r="T167" t="str">
        <f t="shared" si="61"/>
        <v>1+11.352i</v>
      </c>
      <c r="U167" t="str">
        <f t="shared" si="62"/>
        <v>1+0.66i</v>
      </c>
      <c r="V167" t="str">
        <f t="shared" si="63"/>
        <v>-0.00660676532769556i</v>
      </c>
      <c r="W167" t="str">
        <f t="shared" si="71"/>
        <v>0.0492055829504882-0.0390824500750178i</v>
      </c>
      <c r="X167">
        <f t="shared" si="72"/>
        <v>-24.035538564728917</v>
      </c>
      <c r="Y167">
        <f t="shared" si="73"/>
        <v>-38.459013337646674</v>
      </c>
      <c r="Z167">
        <f t="shared" si="74"/>
        <v>10504.226244065092</v>
      </c>
      <c r="AA167">
        <f t="shared" ca="1" si="64"/>
        <v>-33.409228008101827</v>
      </c>
      <c r="AB167">
        <f t="shared" ca="1" si="65"/>
        <v>-61.669859118129274</v>
      </c>
    </row>
    <row r="168" spans="1:28" x14ac:dyDescent="0.2">
      <c r="A168">
        <v>67000</v>
      </c>
      <c r="B168" t="str">
        <f t="shared" si="66"/>
        <v>67000i</v>
      </c>
      <c r="C168" t="str">
        <f t="shared" ca="1" si="52"/>
        <v>1+0.9014440524616i</v>
      </c>
      <c r="D168" t="str">
        <f t="shared" ca="1" si="53"/>
        <v>1+0.473253887542763i</v>
      </c>
      <c r="E168" t="str">
        <f t="shared" ca="1" si="54"/>
        <v>1+306.24111969861i</v>
      </c>
      <c r="F168">
        <f t="shared" ca="1" si="55"/>
        <v>69.486139019499433</v>
      </c>
      <c r="G168" t="str">
        <f t="shared" ca="1" si="67"/>
        <v>0.312340596714996-0.129081896369693i</v>
      </c>
      <c r="H168">
        <f t="shared" ca="1" si="68"/>
        <v>-9.4226246650556753</v>
      </c>
      <c r="I168">
        <f t="shared" ca="1" si="69"/>
        <v>-22.453980379914331</v>
      </c>
      <c r="K168" t="str">
        <f t="shared" ca="1" si="56"/>
        <v>1+0.9014440524616i</v>
      </c>
      <c r="L168" t="str">
        <f t="shared" ca="1" si="57"/>
        <v>1-0.247982535100123i</v>
      </c>
      <c r="M168" t="str">
        <f t="shared" ca="1" si="58"/>
        <v>1+288.462096787712i</v>
      </c>
      <c r="N168" t="str">
        <f t="shared" si="59"/>
        <v>1+0.725973257833597i</v>
      </c>
      <c r="O168">
        <f t="shared" ca="1" si="60"/>
        <v>30.873410267617786</v>
      </c>
      <c r="P168" t="str">
        <f t="shared" ca="1" si="75"/>
        <v>-0.0160438414526901-0.119061399642272i</v>
      </c>
      <c r="Q168">
        <f t="shared" ca="1" si="70"/>
        <v>-18.406427344138894</v>
      </c>
      <c r="R168">
        <f t="shared" ca="1" si="76"/>
        <v>-97.674529971487473</v>
      </c>
      <c r="T168" t="str">
        <f t="shared" si="61"/>
        <v>1+11.524i</v>
      </c>
      <c r="U168" t="str">
        <f t="shared" si="62"/>
        <v>1+0.67i</v>
      </c>
      <c r="V168" t="str">
        <f t="shared" si="63"/>
        <v>-0.00650815688996876i</v>
      </c>
      <c r="W168" t="str">
        <f t="shared" si="71"/>
        <v>0.0487539063315073-0.0391732741320787i</v>
      </c>
      <c r="X168">
        <f t="shared" si="72"/>
        <v>-24.07657910200172</v>
      </c>
      <c r="Y168">
        <f t="shared" si="73"/>
        <v>-38.781527586531865</v>
      </c>
      <c r="Z168">
        <f t="shared" si="74"/>
        <v>10663.381187156989</v>
      </c>
      <c r="AA168">
        <f t="shared" ca="1" si="64"/>
        <v>-33.499203767057395</v>
      </c>
      <c r="AB168">
        <f t="shared" ca="1" si="65"/>
        <v>-61.235507966446193</v>
      </c>
    </row>
    <row r="169" spans="1:28" x14ac:dyDescent="0.2">
      <c r="A169">
        <v>68000</v>
      </c>
      <c r="B169" t="str">
        <f t="shared" si="66"/>
        <v>68000i</v>
      </c>
      <c r="C169" t="str">
        <f t="shared" ca="1" si="52"/>
        <v>1+0.914898441304311i</v>
      </c>
      <c r="D169" t="str">
        <f t="shared" ca="1" si="53"/>
        <v>1+0.480317378401611i</v>
      </c>
      <c r="E169" t="str">
        <f t="shared" ca="1" si="54"/>
        <v>1+310.811882679186i</v>
      </c>
      <c r="F169">
        <f t="shared" ca="1" si="55"/>
        <v>69.486139019499433</v>
      </c>
      <c r="G169" t="str">
        <f t="shared" ca="1" si="67"/>
        <v>0.312319062647821-0.124315447877249i</v>
      </c>
      <c r="H169">
        <f t="shared" ca="1" si="68"/>
        <v>-9.4693105931381663</v>
      </c>
      <c r="I169">
        <f t="shared" ca="1" si="69"/>
        <v>-21.704528954974158</v>
      </c>
      <c r="K169" t="str">
        <f t="shared" ca="1" si="56"/>
        <v>1+0.914898441304311i</v>
      </c>
      <c r="L169" t="str">
        <f t="shared" ca="1" si="57"/>
        <v>1-0.251683766967289i</v>
      </c>
      <c r="M169" t="str">
        <f t="shared" ca="1" si="58"/>
        <v>1+292.767501217379i</v>
      </c>
      <c r="N169" t="str">
        <f t="shared" si="59"/>
        <v>1+0.736808679592307i</v>
      </c>
      <c r="O169">
        <f t="shared" ca="1" si="60"/>
        <v>30.873410267617786</v>
      </c>
      <c r="P169" t="str">
        <f t="shared" ca="1" si="75"/>
        <v>-0.0162246005020256-0.1175411556538i</v>
      </c>
      <c r="Q169">
        <f t="shared" ca="1" si="70"/>
        <v>-18.514232267737111</v>
      </c>
      <c r="R169">
        <f t="shared" ca="1" si="76"/>
        <v>-97.859066512691925</v>
      </c>
      <c r="T169" t="str">
        <f t="shared" si="61"/>
        <v>1+11.696i</v>
      </c>
      <c r="U169" t="str">
        <f t="shared" si="62"/>
        <v>1+0.68i</v>
      </c>
      <c r="V169" t="str">
        <f t="shared" si="63"/>
        <v>-0.0064124487004104i</v>
      </c>
      <c r="W169" t="str">
        <f t="shared" si="71"/>
        <v>0.0483038394992621-0.0392590595599086i</v>
      </c>
      <c r="X169">
        <f t="shared" si="72"/>
        <v>-24.117804488476967</v>
      </c>
      <c r="Y169">
        <f t="shared" si="73"/>
        <v>-39.102567336926938</v>
      </c>
      <c r="Z169">
        <f t="shared" si="74"/>
        <v>10822.536130248884</v>
      </c>
      <c r="AA169">
        <f t="shared" ca="1" si="64"/>
        <v>-33.587115081615131</v>
      </c>
      <c r="AB169">
        <f t="shared" ca="1" si="65"/>
        <v>-60.807096291901097</v>
      </c>
    </row>
    <row r="170" spans="1:28" x14ac:dyDescent="0.2">
      <c r="A170">
        <v>69000</v>
      </c>
      <c r="B170" t="str">
        <f t="shared" si="66"/>
        <v>69000i</v>
      </c>
      <c r="C170" t="str">
        <f t="shared" ca="1" si="52"/>
        <v>1+0.928352830147021i</v>
      </c>
      <c r="D170" t="str">
        <f t="shared" ca="1" si="53"/>
        <v>1+0.487380869260458i</v>
      </c>
      <c r="E170" t="str">
        <f t="shared" ca="1" si="54"/>
        <v>1+315.382645659763i</v>
      </c>
      <c r="F170">
        <f t="shared" ca="1" si="55"/>
        <v>69.486139019499433</v>
      </c>
      <c r="G170" t="str">
        <f t="shared" ca="1" si="67"/>
        <v>0.31229845803061-0.119645277540081i</v>
      </c>
      <c r="H170">
        <f t="shared" ca="1" si="68"/>
        <v>-9.5138218620705679</v>
      </c>
      <c r="I170">
        <f t="shared" ca="1" si="69"/>
        <v>-20.962434374135182</v>
      </c>
      <c r="K170" t="str">
        <f t="shared" ca="1" si="56"/>
        <v>1+0.928352830147021i</v>
      </c>
      <c r="L170" t="str">
        <f t="shared" ca="1" si="57"/>
        <v>1-0.255384998834455i</v>
      </c>
      <c r="M170" t="str">
        <f t="shared" ca="1" si="58"/>
        <v>1+297.072905647047i</v>
      </c>
      <c r="N170" t="str">
        <f t="shared" si="59"/>
        <v>1+0.747644101351018i</v>
      </c>
      <c r="O170">
        <f t="shared" ca="1" si="60"/>
        <v>30.873410267617786</v>
      </c>
      <c r="P170" t="str">
        <f t="shared" ca="1" si="75"/>
        <v>-0.0164038769423976-0.116063617590315i</v>
      </c>
      <c r="Q170">
        <f t="shared" ca="1" si="70"/>
        <v>-18.620179924864384</v>
      </c>
      <c r="R170">
        <f t="shared" ca="1" si="76"/>
        <v>-98.044628452238641</v>
      </c>
      <c r="T170" t="str">
        <f t="shared" si="61"/>
        <v>1+11.868i</v>
      </c>
      <c r="U170" t="str">
        <f t="shared" si="62"/>
        <v>1+0.69i</v>
      </c>
      <c r="V170" t="str">
        <f t="shared" si="63"/>
        <v>-0.00631951466127401i</v>
      </c>
      <c r="W170" t="str">
        <f t="shared" si="71"/>
        <v>0.0478555212273701-0.0393398243081593i</v>
      </c>
      <c r="X170">
        <f t="shared" si="72"/>
        <v>-24.159207521217148</v>
      </c>
      <c r="Y170">
        <f t="shared" si="73"/>
        <v>-39.422052228419851</v>
      </c>
      <c r="Z170">
        <f t="shared" si="74"/>
        <v>10981.691073340779</v>
      </c>
      <c r="AA170">
        <f t="shared" ca="1" si="64"/>
        <v>-33.673029383287712</v>
      </c>
      <c r="AB170">
        <f t="shared" ca="1" si="65"/>
        <v>-60.384486602555029</v>
      </c>
    </row>
    <row r="171" spans="1:28" x14ac:dyDescent="0.2">
      <c r="A171">
        <v>70000</v>
      </c>
      <c r="B171" t="str">
        <f t="shared" si="66"/>
        <v>70000i</v>
      </c>
      <c r="C171" t="str">
        <f t="shared" ca="1" si="52"/>
        <v>1+0.941807218989731i</v>
      </c>
      <c r="D171" t="str">
        <f t="shared" ca="1" si="53"/>
        <v>1+0.494444360119305i</v>
      </c>
      <c r="E171" t="str">
        <f t="shared" ca="1" si="54"/>
        <v>1+319.953408640339i</v>
      </c>
      <c r="F171">
        <f t="shared" ca="1" si="55"/>
        <v>69.486139019499433</v>
      </c>
      <c r="G171" t="str">
        <f t="shared" ca="1" si="67"/>
        <v>0.312278730134039-0.115067259316336i</v>
      </c>
      <c r="H171">
        <f t="shared" ca="1" si="68"/>
        <v>-9.5562301506405749</v>
      </c>
      <c r="I171">
        <f t="shared" ca="1" si="69"/>
        <v>-20.227638156484147</v>
      </c>
      <c r="K171" t="str">
        <f t="shared" ca="1" si="56"/>
        <v>1+0.941807218989731i</v>
      </c>
      <c r="L171" t="str">
        <f t="shared" ca="1" si="57"/>
        <v>1-0.259086230701621i</v>
      </c>
      <c r="M171" t="str">
        <f t="shared" ca="1" si="58"/>
        <v>1+301.378310076714i</v>
      </c>
      <c r="N171" t="str">
        <f t="shared" si="59"/>
        <v>1+0.758479523109728i</v>
      </c>
      <c r="O171">
        <f t="shared" ca="1" si="60"/>
        <v>30.873410267617786</v>
      </c>
      <c r="P171" t="str">
        <f t="shared" ca="1" si="75"/>
        <v>-0.0165816528615642-0.114626896691396i</v>
      </c>
      <c r="Q171">
        <f t="shared" ca="1" si="70"/>
        <v>-18.724327409916043</v>
      </c>
      <c r="R171">
        <f t="shared" ca="1" si="76"/>
        <v>-98.231172730824227</v>
      </c>
      <c r="T171" t="str">
        <f t="shared" si="61"/>
        <v>1+12.04i</v>
      </c>
      <c r="U171" t="str">
        <f t="shared" si="62"/>
        <v>1+0.7i</v>
      </c>
      <c r="V171" t="str">
        <f t="shared" si="63"/>
        <v>-0.00622923588039867i</v>
      </c>
      <c r="W171" t="str">
        <f t="shared" si="71"/>
        <v>0.0474090838145778-0.0394155945506031i</v>
      </c>
      <c r="X171">
        <f t="shared" si="72"/>
        <v>-24.200781001100854</v>
      </c>
      <c r="Y171">
        <f t="shared" si="73"/>
        <v>-39.739908307192643</v>
      </c>
      <c r="Z171">
        <f t="shared" si="74"/>
        <v>11140.846016432673</v>
      </c>
      <c r="AA171">
        <f t="shared" ca="1" si="64"/>
        <v>-33.75701115174143</v>
      </c>
      <c r="AB171">
        <f t="shared" ca="1" si="65"/>
        <v>-59.96754646367679</v>
      </c>
    </row>
    <row r="172" spans="1:28" x14ac:dyDescent="0.2">
      <c r="A172">
        <v>71000</v>
      </c>
      <c r="B172" t="str">
        <f t="shared" si="66"/>
        <v>71000i</v>
      </c>
      <c r="C172" t="str">
        <f t="shared" ca="1" si="52"/>
        <v>1+0.955261607832442i</v>
      </c>
      <c r="D172" t="str">
        <f t="shared" ca="1" si="53"/>
        <v>1+0.501507850978152i</v>
      </c>
      <c r="E172" t="str">
        <f t="shared" ca="1" si="54"/>
        <v>1+324.524171620915i</v>
      </c>
      <c r="F172">
        <f t="shared" ca="1" si="55"/>
        <v>69.486139019499433</v>
      </c>
      <c r="G172" t="str">
        <f t="shared" ca="1" si="67"/>
        <v>0.312259829915699-0.110577499605864i</v>
      </c>
      <c r="H172">
        <f t="shared" ca="1" si="68"/>
        <v>-9.5966043295202379</v>
      </c>
      <c r="I172">
        <f t="shared" ca="1" si="69"/>
        <v>-19.500080604268902</v>
      </c>
      <c r="K172" t="str">
        <f t="shared" ca="1" si="56"/>
        <v>1+0.955261607832442i</v>
      </c>
      <c r="L172" t="str">
        <f t="shared" ca="1" si="57"/>
        <v>1-0.262787462568787i</v>
      </c>
      <c r="M172" t="str">
        <f t="shared" ca="1" si="58"/>
        <v>1+305.683714506381i</v>
      </c>
      <c r="N172" t="str">
        <f t="shared" si="59"/>
        <v>1+0.769314944868438i</v>
      </c>
      <c r="O172">
        <f t="shared" ca="1" si="60"/>
        <v>30.873410267617786</v>
      </c>
      <c r="P172" t="str">
        <f t="shared" ca="1" si="75"/>
        <v>-0.0167579112392495-0.11322921417032i</v>
      </c>
      <c r="Q172">
        <f t="shared" ca="1" si="70"/>
        <v>-18.826729282457237</v>
      </c>
      <c r="R172">
        <f t="shared" ca="1" si="76"/>
        <v>-98.418656708996593</v>
      </c>
      <c r="T172" t="str">
        <f t="shared" si="61"/>
        <v>1+12.212i</v>
      </c>
      <c r="U172" t="str">
        <f t="shared" si="62"/>
        <v>1+0.71i</v>
      </c>
      <c r="V172" t="str">
        <f t="shared" si="63"/>
        <v>-0.00614150016377334i</v>
      </c>
      <c r="W172" t="str">
        <f t="shared" si="71"/>
        <v>0.0469646532037238-0.0394864039384172i</v>
      </c>
      <c r="X172">
        <f t="shared" si="72"/>
        <v>-24.242517748406254</v>
      </c>
      <c r="Y172">
        <f t="shared" si="73"/>
        <v>-40.056067605404422</v>
      </c>
      <c r="Z172">
        <f t="shared" si="74"/>
        <v>11300.00095952457</v>
      </c>
      <c r="AA172">
        <f t="shared" ca="1" si="64"/>
        <v>-33.83912207792649</v>
      </c>
      <c r="AB172">
        <f t="shared" ca="1" si="65"/>
        <v>-59.556148209673324</v>
      </c>
    </row>
    <row r="173" spans="1:28" x14ac:dyDescent="0.2">
      <c r="A173">
        <v>72000</v>
      </c>
      <c r="B173" t="str">
        <f t="shared" si="66"/>
        <v>72000i</v>
      </c>
      <c r="C173" t="str">
        <f t="shared" ca="1" si="52"/>
        <v>1+0.968715996675152i</v>
      </c>
      <c r="D173" t="str">
        <f t="shared" ca="1" si="53"/>
        <v>1+0.508571341836999i</v>
      </c>
      <c r="E173" t="str">
        <f t="shared" ca="1" si="54"/>
        <v>1+329.094934601492i</v>
      </c>
      <c r="F173">
        <f t="shared" ca="1" si="55"/>
        <v>69.486139019499433</v>
      </c>
      <c r="G173" t="str">
        <f t="shared" ca="1" si="67"/>
        <v>0.312241711715017-0.106172321109357i</v>
      </c>
      <c r="H173">
        <f t="shared" ca="1" si="68"/>
        <v>-9.6350105994098705</v>
      </c>
      <c r="I173">
        <f t="shared" ca="1" si="69"/>
        <v>-18.779700928250733</v>
      </c>
      <c r="K173" t="str">
        <f t="shared" ca="1" si="56"/>
        <v>1+0.968715996675152i</v>
      </c>
      <c r="L173" t="str">
        <f t="shared" ca="1" si="57"/>
        <v>1-0.266488694435953i</v>
      </c>
      <c r="M173" t="str">
        <f t="shared" ca="1" si="58"/>
        <v>1+309.989118936049i</v>
      </c>
      <c r="N173" t="str">
        <f t="shared" si="59"/>
        <v>1+0.780150366627149i</v>
      </c>
      <c r="O173">
        <f t="shared" ca="1" si="60"/>
        <v>30.873410267617786</v>
      </c>
      <c r="P173" t="str">
        <f t="shared" ca="1" si="75"/>
        <v>-0.0169326360221646-0.111868893476905i</v>
      </c>
      <c r="Q173">
        <f t="shared" ca="1" si="70"/>
        <v>-18.927437706003541</v>
      </c>
      <c r="R173">
        <f t="shared" ca="1" si="76"/>
        <v>-98.607038217832454</v>
      </c>
      <c r="T173" t="str">
        <f t="shared" si="61"/>
        <v>1+12.384i</v>
      </c>
      <c r="U173" t="str">
        <f t="shared" si="62"/>
        <v>1+0.72i</v>
      </c>
      <c r="V173" t="str">
        <f t="shared" si="63"/>
        <v>-0.0060562015503876i</v>
      </c>
      <c r="W173" t="str">
        <f t="shared" si="71"/>
        <v>0.0465223491067709-0.0395522929072626i</v>
      </c>
      <c r="X173">
        <f t="shared" si="72"/>
        <v>-24.284410616722401</v>
      </c>
      <c r="Y173">
        <f t="shared" si="73"/>
        <v>-40.370467751791999</v>
      </c>
      <c r="Z173">
        <f t="shared" si="74"/>
        <v>11459.155902616465</v>
      </c>
      <c r="AA173">
        <f t="shared" ca="1" si="64"/>
        <v>-33.919421216132271</v>
      </c>
      <c r="AB173">
        <f t="shared" ca="1" si="65"/>
        <v>-59.150168680042732</v>
      </c>
    </row>
    <row r="174" spans="1:28" x14ac:dyDescent="0.2">
      <c r="A174">
        <v>73000</v>
      </c>
      <c r="B174" t="str">
        <f t="shared" si="66"/>
        <v>73000i</v>
      </c>
      <c r="C174" t="str">
        <f t="shared" ca="1" si="52"/>
        <v>1+0.982170385517863i</v>
      </c>
      <c r="D174" t="str">
        <f t="shared" ca="1" si="53"/>
        <v>1+0.515634832695847i</v>
      </c>
      <c r="E174" t="str">
        <f t="shared" ca="1" si="54"/>
        <v>1+333.665697582068i</v>
      </c>
      <c r="F174">
        <f t="shared" ca="1" si="55"/>
        <v>69.486139019499433</v>
      </c>
      <c r="G174" t="str">
        <f t="shared" ca="1" si="67"/>
        <v>0.312224332977232-0.101848248014053i</v>
      </c>
      <c r="H174">
        <f t="shared" ca="1" si="68"/>
        <v>-9.6715126205327344</v>
      </c>
      <c r="I174">
        <f t="shared" ca="1" si="69"/>
        <v>-18.06643736615511</v>
      </c>
      <c r="K174" t="str">
        <f t="shared" ca="1" si="56"/>
        <v>1+0.982170385517863i</v>
      </c>
      <c r="L174" t="str">
        <f t="shared" ca="1" si="57"/>
        <v>1-0.270189926303119i</v>
      </c>
      <c r="M174" t="str">
        <f t="shared" ca="1" si="58"/>
        <v>1+314.294523365716i</v>
      </c>
      <c r="N174" t="str">
        <f t="shared" si="59"/>
        <v>1+0.790985788385859i</v>
      </c>
      <c r="O174">
        <f t="shared" ca="1" si="60"/>
        <v>30.873410267617786</v>
      </c>
      <c r="P174" t="str">
        <f t="shared" ca="1" si="75"/>
        <v>-0.0171058121833917-0.110544353194942i</v>
      </c>
      <c r="Q174">
        <f t="shared" ca="1" si="70"/>
        <v>-19.026502577775375</v>
      </c>
      <c r="R174">
        <f t="shared" ca="1" si="76"/>
        <v>-98.796275604406119</v>
      </c>
      <c r="T174" t="str">
        <f t="shared" si="61"/>
        <v>1+12.556i</v>
      </c>
      <c r="U174" t="str">
        <f t="shared" si="62"/>
        <v>1+0.73i</v>
      </c>
      <c r="V174" t="str">
        <f t="shared" si="63"/>
        <v>-0.00597323988531379i</v>
      </c>
      <c r="W174" t="str">
        <f t="shared" si="71"/>
        <v>0.0460822851351822-0.0396133080339968i</v>
      </c>
      <c r="X174">
        <f t="shared" si="72"/>
        <v>-24.32645250535117</v>
      </c>
      <c r="Y174">
        <f t="shared" si="73"/>
        <v>-40.683051610686569</v>
      </c>
      <c r="Z174">
        <f t="shared" si="74"/>
        <v>11618.31084570836</v>
      </c>
      <c r="AA174">
        <f t="shared" ca="1" si="64"/>
        <v>-33.997965125883908</v>
      </c>
      <c r="AB174">
        <f t="shared" ca="1" si="65"/>
        <v>-58.749488976841675</v>
      </c>
    </row>
    <row r="175" spans="1:28" x14ac:dyDescent="0.2">
      <c r="A175">
        <v>74000</v>
      </c>
      <c r="B175" t="str">
        <f t="shared" si="66"/>
        <v>74000i</v>
      </c>
      <c r="C175" t="str">
        <f t="shared" ca="1" si="52"/>
        <v>1+0.995624774360573i</v>
      </c>
      <c r="D175" t="str">
        <f t="shared" ca="1" si="53"/>
        <v>1+0.522698323554694i</v>
      </c>
      <c r="E175" t="str">
        <f t="shared" ca="1" si="54"/>
        <v>1+338.236460562644i</v>
      </c>
      <c r="F175">
        <f t="shared" ca="1" si="55"/>
        <v>69.486139019499433</v>
      </c>
      <c r="G175" t="str">
        <f t="shared" ca="1" si="67"/>
        <v>0.312207654003284-0.0976019923805179i</v>
      </c>
      <c r="H175">
        <f t="shared" ca="1" si="68"/>
        <v>-9.7061716341620023</v>
      </c>
      <c r="I175">
        <f t="shared" ca="1" si="69"/>
        <v>-17.360227294504142</v>
      </c>
      <c r="K175" t="str">
        <f t="shared" ca="1" si="56"/>
        <v>1+0.995624774360573i</v>
      </c>
      <c r="L175" t="str">
        <f t="shared" ca="1" si="57"/>
        <v>1-0.273891158170285i</v>
      </c>
      <c r="M175" t="str">
        <f t="shared" ca="1" si="58"/>
        <v>1+318.599927795383i</v>
      </c>
      <c r="N175" t="str">
        <f t="shared" si="59"/>
        <v>1+0.80182121014457i</v>
      </c>
      <c r="O175">
        <f t="shared" ca="1" si="60"/>
        <v>30.873410267617786</v>
      </c>
      <c r="P175" t="str">
        <f t="shared" ca="1" si="75"/>
        <v>-0.0172774257680119-0.109254100514584i</v>
      </c>
      <c r="Q175">
        <f t="shared" ca="1" si="70"/>
        <v>-19.123971650128738</v>
      </c>
      <c r="R175">
        <f t="shared" ca="1" si="76"/>
        <v>-98.986327772377095</v>
      </c>
      <c r="T175" t="str">
        <f t="shared" si="61"/>
        <v>1+12.728i</v>
      </c>
      <c r="U175" t="str">
        <f t="shared" si="62"/>
        <v>1+0.74i</v>
      </c>
      <c r="V175" t="str">
        <f t="shared" si="63"/>
        <v>-0.00589252042740415i</v>
      </c>
      <c r="W175" t="str">
        <f t="shared" si="71"/>
        <v>0.045644568934945-0.0396695014392635i</v>
      </c>
      <c r="X175">
        <f t="shared" si="72"/>
        <v>-24.368636370345541</v>
      </c>
      <c r="Y175">
        <f t="shared" si="73"/>
        <v>-40.993766946942387</v>
      </c>
      <c r="Z175">
        <f t="shared" si="74"/>
        <v>11777.465788800255</v>
      </c>
      <c r="AA175">
        <f t="shared" ca="1" si="64"/>
        <v>-34.074808004507545</v>
      </c>
      <c r="AB175">
        <f t="shared" ca="1" si="65"/>
        <v>-58.353994241446529</v>
      </c>
    </row>
    <row r="176" spans="1:28" x14ac:dyDescent="0.2">
      <c r="A176">
        <v>75000</v>
      </c>
      <c r="B176" t="str">
        <f t="shared" si="66"/>
        <v>75000i</v>
      </c>
      <c r="C176" t="str">
        <f t="shared" ca="1" si="52"/>
        <v>1+1.00907916320328i</v>
      </c>
      <c r="D176" t="str">
        <f t="shared" ca="1" si="53"/>
        <v>1+0.529761814413541i</v>
      </c>
      <c r="E176" t="str">
        <f t="shared" ca="1" si="54"/>
        <v>1+342.80722354322i</v>
      </c>
      <c r="F176">
        <f t="shared" ca="1" si="55"/>
        <v>69.486139019499433</v>
      </c>
      <c r="G176" t="str">
        <f t="shared" ca="1" si="67"/>
        <v>0.312191637722915-0.0934304416184171i</v>
      </c>
      <c r="H176">
        <f t="shared" ca="1" si="68"/>
        <v>-9.7390465767948626</v>
      </c>
      <c r="I176">
        <f t="shared" ca="1" si="69"/>
        <v>-16.661007334106262</v>
      </c>
      <c r="K176" t="str">
        <f t="shared" ca="1" si="56"/>
        <v>1+1.00907916320328i</v>
      </c>
      <c r="L176" t="str">
        <f t="shared" ca="1" si="57"/>
        <v>1-0.277592390037451i</v>
      </c>
      <c r="M176" t="str">
        <f t="shared" ca="1" si="58"/>
        <v>1+322.905332225051i</v>
      </c>
      <c r="N176" t="str">
        <f t="shared" si="59"/>
        <v>1+0.81265663190328i</v>
      </c>
      <c r="O176">
        <f t="shared" ca="1" si="60"/>
        <v>30.873410267617786</v>
      </c>
      <c r="P176" t="str">
        <f t="shared" ca="1" si="75"/>
        <v>-0.0174474639266443-0.107996725226391i</v>
      </c>
      <c r="Q176">
        <f t="shared" ca="1" si="70"/>
        <v>-19.219890644299618</v>
      </c>
      <c r="R176">
        <f t="shared" ca="1" si="76"/>
        <v>-99.17715421800861</v>
      </c>
      <c r="T176" t="str">
        <f t="shared" si="61"/>
        <v>1+12.9i</v>
      </c>
      <c r="U176" t="str">
        <f t="shared" si="62"/>
        <v>1+0.75i</v>
      </c>
      <c r="V176" t="str">
        <f t="shared" si="63"/>
        <v>-0.00581395348837209i</v>
      </c>
      <c r="W176" t="str">
        <f t="shared" si="71"/>
        <v>0.0452093023255814-0.0397209302325581i</v>
      </c>
      <c r="X176">
        <f t="shared" si="72"/>
        <v>-24.41095523431397</v>
      </c>
      <c r="Y176">
        <f t="shared" si="73"/>
        <v>-41.302566114533846</v>
      </c>
      <c r="Z176">
        <f t="shared" si="74"/>
        <v>11936.620731892152</v>
      </c>
      <c r="AA176">
        <f t="shared" ca="1" si="64"/>
        <v>-34.150001811108837</v>
      </c>
      <c r="AB176">
        <f t="shared" ca="1" si="65"/>
        <v>-57.963573448640105</v>
      </c>
    </row>
    <row r="177" spans="1:28" x14ac:dyDescent="0.2">
      <c r="A177">
        <v>76000</v>
      </c>
      <c r="B177" t="str">
        <f t="shared" si="66"/>
        <v>76000i</v>
      </c>
      <c r="C177" t="str">
        <f t="shared" ca="1" si="52"/>
        <v>1+1.02253355204599i</v>
      </c>
      <c r="D177" t="str">
        <f t="shared" ca="1" si="53"/>
        <v>1+0.536825305272388i</v>
      </c>
      <c r="E177" t="str">
        <f t="shared" ca="1" si="54"/>
        <v>1+347.377986523797i</v>
      </c>
      <c r="F177">
        <f t="shared" ca="1" si="55"/>
        <v>69.486139019499433</v>
      </c>
      <c r="G177" t="str">
        <f t="shared" ca="1" si="67"/>
        <v>0.312176249488495-0.0893306469509872i</v>
      </c>
      <c r="H177">
        <f t="shared" ca="1" si="68"/>
        <v>-9.7701941875337432</v>
      </c>
      <c r="I177">
        <f t="shared" ca="1" si="69"/>
        <v>-15.968713449478315</v>
      </c>
      <c r="K177" t="str">
        <f t="shared" ca="1" si="56"/>
        <v>1+1.02253355204599i</v>
      </c>
      <c r="L177" t="str">
        <f t="shared" ca="1" si="57"/>
        <v>1-0.281293621904617i</v>
      </c>
      <c r="M177" t="str">
        <f t="shared" ca="1" si="58"/>
        <v>1+327.210736654718i</v>
      </c>
      <c r="N177" t="str">
        <f t="shared" si="59"/>
        <v>1+0.82349205366199i</v>
      </c>
      <c r="O177">
        <f t="shared" ca="1" si="60"/>
        <v>30.873410267617786</v>
      </c>
      <c r="P177" t="str">
        <f t="shared" ca="1" si="75"/>
        <v>-0.0176159149383836-0.10677089418931i</v>
      </c>
      <c r="Q177">
        <f t="shared" ca="1" si="70"/>
        <v>-19.314303357041268</v>
      </c>
      <c r="R177">
        <f t="shared" ca="1" si="76"/>
        <v>-99.368715061915807</v>
      </c>
      <c r="T177" t="str">
        <f t="shared" si="61"/>
        <v>1+13.072i</v>
      </c>
      <c r="U177" t="str">
        <f t="shared" si="62"/>
        <v>1+0.76i</v>
      </c>
      <c r="V177" t="str">
        <f t="shared" si="63"/>
        <v>-0.0057374541003672i</v>
      </c>
      <c r="W177" t="str">
        <f t="shared" si="71"/>
        <v>0.0447765814425209-0.0397676559966831i</v>
      </c>
      <c r="X177">
        <f t="shared" si="72"/>
        <v>-24.453402195106388</v>
      </c>
      <c r="Y177">
        <f t="shared" si="73"/>
        <v>-41.609405766807413</v>
      </c>
      <c r="Z177">
        <f t="shared" si="74"/>
        <v>12095.775674984046</v>
      </c>
      <c r="AA177">
        <f t="shared" ca="1" si="64"/>
        <v>-34.223596382640132</v>
      </c>
      <c r="AB177">
        <f t="shared" ca="1" si="65"/>
        <v>-57.578119216285728</v>
      </c>
    </row>
    <row r="178" spans="1:28" x14ac:dyDescent="0.2">
      <c r="A178">
        <v>77000</v>
      </c>
      <c r="B178" t="str">
        <f t="shared" si="66"/>
        <v>77000i</v>
      </c>
      <c r="C178" t="str">
        <f t="shared" ca="1" si="52"/>
        <v>1+1.0359879408887i</v>
      </c>
      <c r="D178" t="str">
        <f t="shared" ca="1" si="53"/>
        <v>1+0.543888796131235i</v>
      </c>
      <c r="E178" t="str">
        <f t="shared" ca="1" si="54"/>
        <v>1+351.948749504373i</v>
      </c>
      <c r="F178">
        <f t="shared" ca="1" si="55"/>
        <v>69.486139019499433</v>
      </c>
      <c r="G178" t="str">
        <f t="shared" ca="1" si="67"/>
        <v>0.312161456887498-0.085299812778323i</v>
      </c>
      <c r="H178">
        <f t="shared" ca="1" si="68"/>
        <v>-9.7996691091799448</v>
      </c>
      <c r="I178">
        <f t="shared" ca="1" si="69"/>
        <v>-15.283281042458903</v>
      </c>
      <c r="K178" t="str">
        <f t="shared" ca="1" si="56"/>
        <v>1+1.0359879408887i</v>
      </c>
      <c r="L178" t="str">
        <f t="shared" ca="1" si="57"/>
        <v>1-0.284994853771783i</v>
      </c>
      <c r="M178" t="str">
        <f t="shared" ca="1" si="58"/>
        <v>1+331.516141084385i</v>
      </c>
      <c r="N178" t="str">
        <f t="shared" si="59"/>
        <v>1+0.834327475420701i</v>
      </c>
      <c r="O178">
        <f t="shared" ca="1" si="60"/>
        <v>30.873410267617786</v>
      </c>
      <c r="P178" t="str">
        <f t="shared" ca="1" si="75"/>
        <v>-0.0177827682244668-0.105575346229796i</v>
      </c>
      <c r="Q178">
        <f t="shared" ca="1" si="70"/>
        <v>-19.407251760682161</v>
      </c>
      <c r="R178">
        <f t="shared" ca="1" si="76"/>
        <v>-99.560971076832587</v>
      </c>
      <c r="T178" t="str">
        <f t="shared" si="61"/>
        <v>1+13.244i</v>
      </c>
      <c r="U178" t="str">
        <f t="shared" si="62"/>
        <v>1+0.77i</v>
      </c>
      <c r="V178" t="str">
        <f t="shared" si="63"/>
        <v>-0.00566294170945334i</v>
      </c>
      <c r="W178" t="str">
        <f t="shared" si="71"/>
        <v>0.0443464968822405-0.0398097443087785i</v>
      </c>
      <c r="X178">
        <f t="shared" si="72"/>
        <v>-24.49597043348632</v>
      </c>
      <c r="Y178">
        <f t="shared" si="73"/>
        <v>-41.914246586576617</v>
      </c>
      <c r="Z178">
        <f t="shared" si="74"/>
        <v>12254.930618075941</v>
      </c>
      <c r="AA178">
        <f t="shared" ca="1" si="64"/>
        <v>-34.295639542666265</v>
      </c>
      <c r="AB178">
        <f t="shared" ca="1" si="65"/>
        <v>-57.19752762903552</v>
      </c>
    </row>
    <row r="179" spans="1:28" x14ac:dyDescent="0.2">
      <c r="A179">
        <v>78000</v>
      </c>
      <c r="B179" t="str">
        <f t="shared" si="66"/>
        <v>78000i</v>
      </c>
      <c r="C179" t="str">
        <f t="shared" ca="1" si="52"/>
        <v>1+1.04944232973142i</v>
      </c>
      <c r="D179" t="str">
        <f t="shared" ca="1" si="53"/>
        <v>1+0.550952286990083i</v>
      </c>
      <c r="E179" t="str">
        <f t="shared" ca="1" si="54"/>
        <v>1+356.519512484949i</v>
      </c>
      <c r="F179">
        <f t="shared" ca="1" si="55"/>
        <v>69.486139019499433</v>
      </c>
      <c r="G179" t="str">
        <f t="shared" ca="1" si="67"/>
        <v>0.312147229571694-0.0813352868588243i</v>
      </c>
      <c r="H179">
        <f t="shared" ca="1" si="68"/>
        <v>-9.8275239835016279</v>
      </c>
      <c r="I179">
        <f t="shared" ca="1" si="69"/>
        <v>-14.604645040273004</v>
      </c>
      <c r="K179" t="str">
        <f t="shared" ca="1" si="56"/>
        <v>1+1.04944232973142i</v>
      </c>
      <c r="L179" t="str">
        <f t="shared" ca="1" si="57"/>
        <v>1-0.288696085638949i</v>
      </c>
      <c r="M179" t="str">
        <f t="shared" ca="1" si="58"/>
        <v>1+335.821545514053i</v>
      </c>
      <c r="N179" t="str">
        <f t="shared" si="59"/>
        <v>1+0.845162897179411i</v>
      </c>
      <c r="O179">
        <f t="shared" ca="1" si="60"/>
        <v>30.873410267617786</v>
      </c>
      <c r="P179" t="str">
        <f t="shared" ca="1" si="75"/>
        <v>-0.0179480143538366-0.104408887433669i</v>
      </c>
      <c r="Q179">
        <f t="shared" ca="1" si="70"/>
        <v>-19.498776097083649</v>
      </c>
      <c r="R179">
        <f t="shared" ca="1" si="76"/>
        <v>-99.753883711661118</v>
      </c>
      <c r="T179" t="str">
        <f t="shared" si="61"/>
        <v>1+13.416i</v>
      </c>
      <c r="U179" t="str">
        <f t="shared" si="62"/>
        <v>1+0.78i</v>
      </c>
      <c r="V179" t="str">
        <f t="shared" si="63"/>
        <v>-0.00559033989266547i</v>
      </c>
      <c r="W179" t="str">
        <f t="shared" si="71"/>
        <v>0.043919133849615-0.0398472642953652i</v>
      </c>
      <c r="X179">
        <f t="shared" si="72"/>
        <v>-24.538653219881951</v>
      </c>
      <c r="Y179">
        <f t="shared" si="73"/>
        <v>-42.217053034433171</v>
      </c>
      <c r="Z179">
        <f t="shared" si="74"/>
        <v>12414.085561167836</v>
      </c>
      <c r="AA179">
        <f t="shared" ca="1" si="64"/>
        <v>-34.366177203383579</v>
      </c>
      <c r="AB179">
        <f t="shared" ca="1" si="65"/>
        <v>-56.821698074706177</v>
      </c>
    </row>
    <row r="180" spans="1:28" x14ac:dyDescent="0.2">
      <c r="A180">
        <v>79000</v>
      </c>
      <c r="B180" t="str">
        <f t="shared" si="66"/>
        <v>79000i</v>
      </c>
      <c r="C180" t="str">
        <f t="shared" ca="1" si="52"/>
        <v>1+1.06289671857413i</v>
      </c>
      <c r="D180" t="str">
        <f t="shared" ca="1" si="53"/>
        <v>1+0.55801577784893i</v>
      </c>
      <c r="E180" t="str">
        <f t="shared" ca="1" si="54"/>
        <v>1+361.090275465525i</v>
      </c>
      <c r="F180">
        <f t="shared" ca="1" si="55"/>
        <v>69.486139019499433</v>
      </c>
      <c r="G180" t="str">
        <f t="shared" ca="1" si="67"/>
        <v>0.312133539101343-0.0774345512363249i</v>
      </c>
      <c r="H180">
        <f t="shared" ca="1" si="68"/>
        <v>-9.8538095410967106</v>
      </c>
      <c r="I180">
        <f t="shared" ca="1" si="69"/>
        <v>-13.932739978301624</v>
      </c>
      <c r="K180" t="str">
        <f t="shared" ca="1" si="56"/>
        <v>1+1.06289671857413i</v>
      </c>
      <c r="L180" t="str">
        <f t="shared" ca="1" si="57"/>
        <v>1-0.292397317506116i</v>
      </c>
      <c r="M180" t="str">
        <f t="shared" ca="1" si="58"/>
        <v>1+340.12694994372i</v>
      </c>
      <c r="N180" t="str">
        <f t="shared" si="59"/>
        <v>1+0.855998318938122i</v>
      </c>
      <c r="O180">
        <f t="shared" ca="1" si="60"/>
        <v>30.873410267617786</v>
      </c>
      <c r="P180" t="str">
        <f t="shared" ca="1" si="75"/>
        <v>-0.0181116450416673-0.103270386796124i</v>
      </c>
      <c r="Q180">
        <f t="shared" ca="1" si="70"/>
        <v>-19.588914965938283</v>
      </c>
      <c r="R180">
        <f t="shared" ca="1" si="76"/>
        <v>-99.947415112070914</v>
      </c>
      <c r="T180" t="str">
        <f t="shared" si="61"/>
        <v>1+13.588i</v>
      </c>
      <c r="U180" t="str">
        <f t="shared" si="62"/>
        <v>1+0.79i</v>
      </c>
      <c r="V180" t="str">
        <f t="shared" si="63"/>
        <v>-0.00551957609655579i</v>
      </c>
      <c r="W180" t="str">
        <f t="shared" si="71"/>
        <v>0.0434945723069522-0.039880288219048i</v>
      </c>
      <c r="X180">
        <f t="shared" si="72"/>
        <v>-24.58144392030054</v>
      </c>
      <c r="Y180">
        <f t="shared" si="73"/>
        <v>-42.517793113800764</v>
      </c>
      <c r="Z180">
        <f t="shared" si="74"/>
        <v>12573.240504259733</v>
      </c>
      <c r="AA180">
        <f t="shared" ca="1" si="64"/>
        <v>-34.435253461397252</v>
      </c>
      <c r="AB180">
        <f t="shared" ca="1" si="65"/>
        <v>-56.45053309210239</v>
      </c>
    </row>
    <row r="181" spans="1:28" x14ac:dyDescent="0.2">
      <c r="A181">
        <v>80000</v>
      </c>
      <c r="B181" t="str">
        <f t="shared" si="66"/>
        <v>80000i</v>
      </c>
      <c r="C181" t="str">
        <f t="shared" ca="1" si="52"/>
        <v>1+1.07635110741684i</v>
      </c>
      <c r="D181" t="str">
        <f t="shared" ca="1" si="53"/>
        <v>1+0.565079268707777i</v>
      </c>
      <c r="E181" t="str">
        <f t="shared" ca="1" si="54"/>
        <v>1+365.661038446102i</v>
      </c>
      <c r="F181">
        <f t="shared" ca="1" si="55"/>
        <v>69.486139019499433</v>
      </c>
      <c r="G181" t="str">
        <f t="shared" ca="1" si="67"/>
        <v>0.312120358802991-0.073595213847631i</v>
      </c>
      <c r="H181">
        <f t="shared" ca="1" si="68"/>
        <v>-9.8785746862314436</v>
      </c>
      <c r="I181">
        <f t="shared" ca="1" si="69"/>
        <v>-13.267500077790439</v>
      </c>
      <c r="K181" t="str">
        <f t="shared" ca="1" si="56"/>
        <v>1+1.07635110741684i</v>
      </c>
      <c r="L181" t="str">
        <f t="shared" ca="1" si="57"/>
        <v>1-0.296098549373282i</v>
      </c>
      <c r="M181" t="str">
        <f t="shared" ca="1" si="58"/>
        <v>1+344.432354373387i</v>
      </c>
      <c r="N181" t="str">
        <f t="shared" si="59"/>
        <v>1+0.866833740696832i</v>
      </c>
      <c r="O181">
        <f t="shared" ca="1" si="60"/>
        <v>30.873410267617786</v>
      </c>
      <c r="P181" t="str">
        <f t="shared" ca="1" si="75"/>
        <v>-0.0182736531417805-0.102158772198812i</v>
      </c>
      <c r="Q181">
        <f t="shared" ca="1" si="70"/>
        <v>-19.677705407806798</v>
      </c>
      <c r="R181">
        <f t="shared" ca="1" si="76"/>
        <v>-100.1415281378838</v>
      </c>
      <c r="T181" t="str">
        <f t="shared" si="61"/>
        <v>1+13.76i</v>
      </c>
      <c r="U181" t="str">
        <f t="shared" si="62"/>
        <v>1+0.8i</v>
      </c>
      <c r="V181" t="str">
        <f t="shared" si="63"/>
        <v>-0.00545058139534884i</v>
      </c>
      <c r="W181" t="str">
        <f t="shared" si="71"/>
        <v>0.0430728871242201-0.0399088910947249i</v>
      </c>
      <c r="X181">
        <f t="shared" si="72"/>
        <v>-24.624336001481968</v>
      </c>
      <c r="Y181">
        <f t="shared" si="73"/>
        <v>-42.816438151406281</v>
      </c>
      <c r="Z181">
        <f t="shared" si="74"/>
        <v>12732.395447351628</v>
      </c>
      <c r="AA181">
        <f t="shared" ca="1" si="64"/>
        <v>-34.50291068771341</v>
      </c>
      <c r="AB181">
        <f t="shared" ca="1" si="65"/>
        <v>-56.083938229196718</v>
      </c>
    </row>
    <row r="182" spans="1:28" x14ac:dyDescent="0.2">
      <c r="A182">
        <v>81000</v>
      </c>
      <c r="B182" t="str">
        <f t="shared" si="66"/>
        <v>81000i</v>
      </c>
      <c r="C182" t="str">
        <f t="shared" ca="1" si="52"/>
        <v>1+1.08980549625955i</v>
      </c>
      <c r="D182" t="str">
        <f t="shared" ca="1" si="53"/>
        <v>1+0.572142759566624i</v>
      </c>
      <c r="E182" t="str">
        <f t="shared" ca="1" si="54"/>
        <v>1+370.231801426678i</v>
      </c>
      <c r="F182">
        <f t="shared" ca="1" si="55"/>
        <v>69.486139019499433</v>
      </c>
      <c r="G182" t="str">
        <f t="shared" ca="1" si="67"/>
        <v>0.312107663639446-0.0698150007517097i</v>
      </c>
      <c r="H182">
        <f t="shared" ca="1" si="68"/>
        <v>-9.9018665770066434</v>
      </c>
      <c r="I182">
        <f t="shared" ca="1" si="69"/>
        <v>-12.608859318744607</v>
      </c>
      <c r="K182" t="str">
        <f t="shared" ca="1" si="56"/>
        <v>1+1.08980549625955i</v>
      </c>
      <c r="L182" t="str">
        <f t="shared" ca="1" si="57"/>
        <v>1-0.299799781240448i</v>
      </c>
      <c r="M182" t="str">
        <f t="shared" ca="1" si="58"/>
        <v>1+348.737758803055i</v>
      </c>
      <c r="N182" t="str">
        <f t="shared" si="59"/>
        <v>1+0.877669162455542i</v>
      </c>
      <c r="O182">
        <f t="shared" ca="1" si="60"/>
        <v>30.873410267617786</v>
      </c>
      <c r="P182" t="str">
        <f t="shared" ca="1" si="75"/>
        <v>-0.0184340326337987-0.101073026685874i</v>
      </c>
      <c r="Q182">
        <f t="shared" ca="1" si="70"/>
        <v>-19.765182982265017</v>
      </c>
      <c r="R182">
        <f t="shared" ca="1" si="76"/>
        <v>-100.33618637748769</v>
      </c>
      <c r="T182" t="str">
        <f t="shared" si="61"/>
        <v>1+13.932i</v>
      </c>
      <c r="U182" t="str">
        <f t="shared" si="62"/>
        <v>1+0.81i</v>
      </c>
      <c r="V182" t="str">
        <f t="shared" si="63"/>
        <v>-0.0053832902670112i</v>
      </c>
      <c r="W182" t="str">
        <f t="shared" si="71"/>
        <v>0.0426541482300108-0.03993315033332i</v>
      </c>
      <c r="X182">
        <f t="shared" si="72"/>
        <v>-24.667323035359338</v>
      </c>
      <c r="Y182">
        <f t="shared" si="73"/>
        <v>-43.112962591964191</v>
      </c>
      <c r="Z182">
        <f t="shared" si="74"/>
        <v>12891.550390443523</v>
      </c>
      <c r="AA182">
        <f t="shared" ca="1" si="64"/>
        <v>-34.569189612365982</v>
      </c>
      <c r="AB182">
        <f t="shared" ca="1" si="65"/>
        <v>-55.721821910708798</v>
      </c>
    </row>
    <row r="183" spans="1:28" x14ac:dyDescent="0.2">
      <c r="A183">
        <v>82000</v>
      </c>
      <c r="B183" t="str">
        <f t="shared" si="66"/>
        <v>82000i</v>
      </c>
      <c r="C183" t="str">
        <f t="shared" ca="1" si="52"/>
        <v>1+1.10325988510226i</v>
      </c>
      <c r="D183" t="str">
        <f t="shared" ca="1" si="53"/>
        <v>1+0.579206250425472i</v>
      </c>
      <c r="E183" t="str">
        <f t="shared" ca="1" si="54"/>
        <v>1+374.802564407254i</v>
      </c>
      <c r="F183">
        <f t="shared" ca="1" si="55"/>
        <v>69.486139019499433</v>
      </c>
      <c r="G183" t="str">
        <f t="shared" ca="1" si="67"/>
        <v>0.312095430090775-0.0660917489274313i</v>
      </c>
      <c r="H183">
        <f t="shared" ca="1" si="68"/>
        <v>-9.9237307011712712</v>
      </c>
      <c r="I183">
        <f t="shared" ca="1" si="69"/>
        <v>-11.956751508231545</v>
      </c>
      <c r="K183" t="str">
        <f t="shared" ca="1" si="56"/>
        <v>1+1.10325988510226i</v>
      </c>
      <c r="L183" t="str">
        <f t="shared" ca="1" si="57"/>
        <v>1-0.303501013107614i</v>
      </c>
      <c r="M183" t="str">
        <f t="shared" ca="1" si="58"/>
        <v>1+353.043163232722i</v>
      </c>
      <c r="N183" t="str">
        <f t="shared" si="59"/>
        <v>1+0.888504584214253i</v>
      </c>
      <c r="O183">
        <f t="shared" ca="1" si="60"/>
        <v>30.873410267617786</v>
      </c>
      <c r="P183" t="str">
        <f t="shared" ca="1" si="75"/>
        <v>-0.0185927786057801-0.100012185013627i</v>
      </c>
      <c r="Q183">
        <f t="shared" ca="1" si="70"/>
        <v>-19.851381841493691</v>
      </c>
      <c r="R183">
        <f t="shared" ca="1" si="76"/>
        <v>-100.53135415949302</v>
      </c>
      <c r="T183" t="str">
        <f t="shared" si="61"/>
        <v>1+14.104i</v>
      </c>
      <c r="U183" t="str">
        <f t="shared" si="62"/>
        <v>1+0.82i</v>
      </c>
      <c r="V183" t="str">
        <f t="shared" si="63"/>
        <v>-0.00531764038570618i</v>
      </c>
      <c r="W183" t="str">
        <f t="shared" si="71"/>
        <v>0.0422384207628085-0.0399531454112091i</v>
      </c>
      <c r="X183">
        <f t="shared" si="72"/>
        <v>-24.710398702889673</v>
      </c>
      <c r="Y183">
        <f t="shared" si="73"/>
        <v>-43.40734380598618</v>
      </c>
      <c r="Z183">
        <f t="shared" si="74"/>
        <v>13050.705333535418</v>
      </c>
      <c r="AA183">
        <f t="shared" ca="1" si="64"/>
        <v>-34.634129404060943</v>
      </c>
      <c r="AB183">
        <f t="shared" ca="1" si="65"/>
        <v>-55.364095314217721</v>
      </c>
    </row>
    <row r="184" spans="1:28" x14ac:dyDescent="0.2">
      <c r="A184">
        <v>83000</v>
      </c>
      <c r="B184" t="str">
        <f t="shared" si="66"/>
        <v>83000i</v>
      </c>
      <c r="C184" t="str">
        <f t="shared" ca="1" si="52"/>
        <v>1+1.11671427394497i</v>
      </c>
      <c r="D184" t="str">
        <f t="shared" ca="1" si="53"/>
        <v>1+0.586269741284319i</v>
      </c>
      <c r="E184" t="str">
        <f t="shared" ca="1" si="54"/>
        <v>1+379.37332738783i</v>
      </c>
      <c r="F184">
        <f t="shared" ca="1" si="55"/>
        <v>69.486139019499433</v>
      </c>
      <c r="G184" t="str">
        <f t="shared" ca="1" si="67"/>
        <v>0.312083636045305-0.0624233995919374i</v>
      </c>
      <c r="H184">
        <f t="shared" ca="1" si="68"/>
        <v>-9.9442109478755185</v>
      </c>
      <c r="I184">
        <f t="shared" ca="1" si="69"/>
        <v>-11.311110344315177</v>
      </c>
      <c r="K184" t="str">
        <f t="shared" ca="1" si="56"/>
        <v>1+1.11671427394497i</v>
      </c>
      <c r="L184" t="str">
        <f t="shared" ca="1" si="57"/>
        <v>1-0.30720224497478i</v>
      </c>
      <c r="M184" t="str">
        <f t="shared" ca="1" si="58"/>
        <v>1+357.348567662389i</v>
      </c>
      <c r="N184" t="str">
        <f t="shared" si="59"/>
        <v>1+0.899340005972963i</v>
      </c>
      <c r="O184">
        <f t="shared" ca="1" si="60"/>
        <v>30.873410267617786</v>
      </c>
      <c r="P184" t="str">
        <f t="shared" ca="1" si="75"/>
        <v>-0.018749887232999-0.0989753304509402i</v>
      </c>
      <c r="Q184">
        <f t="shared" ca="1" si="70"/>
        <v>-19.936334799623808</v>
      </c>
      <c r="R184">
        <f t="shared" ca="1" si="76"/>
        <v>-100.72699656184351</v>
      </c>
      <c r="T184" t="str">
        <f t="shared" si="61"/>
        <v>1+14.276i</v>
      </c>
      <c r="U184" t="str">
        <f t="shared" si="62"/>
        <v>1+0.83i</v>
      </c>
      <c r="V184" t="str">
        <f t="shared" si="63"/>
        <v>-0.00525357242925189i</v>
      </c>
      <c r="W184" t="str">
        <f t="shared" si="71"/>
        <v>0.0418257652221688-0.039968957563652i</v>
      </c>
      <c r="X184">
        <f t="shared" si="72"/>
        <v>-24.75355679731004</v>
      </c>
      <c r="Y184">
        <f t="shared" si="73"/>
        <v>-43.699561909727564</v>
      </c>
      <c r="Z184">
        <f t="shared" si="74"/>
        <v>13209.860276627312</v>
      </c>
      <c r="AA184">
        <f t="shared" ca="1" si="64"/>
        <v>-34.697767745185558</v>
      </c>
      <c r="AB184">
        <f t="shared" ca="1" si="65"/>
        <v>-55.010672254042738</v>
      </c>
    </row>
    <row r="185" spans="1:28" x14ac:dyDescent="0.2">
      <c r="A185">
        <v>84000</v>
      </c>
      <c r="B185" t="str">
        <f t="shared" si="66"/>
        <v>84000i</v>
      </c>
      <c r="C185" t="str">
        <f t="shared" ca="1" si="52"/>
        <v>1+1.13016866278768i</v>
      </c>
      <c r="D185" t="str">
        <f t="shared" ca="1" si="53"/>
        <v>1+0.593333232143166i</v>
      </c>
      <c r="E185" t="str">
        <f t="shared" ca="1" si="54"/>
        <v>1+383.944090368407i</v>
      </c>
      <c r="F185">
        <f t="shared" ca="1" si="55"/>
        <v>69.486139019499433</v>
      </c>
      <c r="G185" t="str">
        <f t="shared" ca="1" si="67"/>
        <v>0.312072260699629-0.0588079919962401i</v>
      </c>
      <c r="H185">
        <f t="shared" ca="1" si="68"/>
        <v>-9.9633496756340136</v>
      </c>
      <c r="I185">
        <f t="shared" ca="1" si="69"/>
        <v>-10.671869475835873</v>
      </c>
      <c r="K185" t="str">
        <f t="shared" ca="1" si="56"/>
        <v>1+1.13016866278768i</v>
      </c>
      <c r="L185" t="str">
        <f t="shared" ca="1" si="57"/>
        <v>1-0.310903476841946i</v>
      </c>
      <c r="M185" t="str">
        <f t="shared" ca="1" si="58"/>
        <v>1+361.653972092057i</v>
      </c>
      <c r="N185" t="str">
        <f t="shared" si="59"/>
        <v>1+0.910175427731674i</v>
      </c>
      <c r="O185">
        <f t="shared" ca="1" si="60"/>
        <v>30.873410267617786</v>
      </c>
      <c r="P185" t="str">
        <f t="shared" ca="1" si="75"/>
        <v>-0.0189053557534769-0.0979615918095654i</v>
      </c>
      <c r="Q185">
        <f t="shared" ca="1" si="70"/>
        <v>-20.020073398119909</v>
      </c>
      <c r="R185">
        <f t="shared" ca="1" si="76"/>
        <v>-100.92307941858213</v>
      </c>
      <c r="T185" t="str">
        <f t="shared" si="61"/>
        <v>1+14.448i</v>
      </c>
      <c r="U185" t="str">
        <f t="shared" si="62"/>
        <v>1+0.84i</v>
      </c>
      <c r="V185" t="str">
        <f t="shared" si="63"/>
        <v>-0.00519102990033223i</v>
      </c>
      <c r="W185" t="str">
        <f t="shared" si="71"/>
        <v>0.0414162376194424-0.0399806695006639i</v>
      </c>
      <c r="X185">
        <f t="shared" si="72"/>
        <v>-24.796791226870809</v>
      </c>
      <c r="Y185">
        <f t="shared" si="73"/>
        <v>-43.989599596368897</v>
      </c>
      <c r="Z185">
        <f t="shared" si="74"/>
        <v>13369.015219719209</v>
      </c>
      <c r="AA185">
        <f t="shared" ca="1" si="64"/>
        <v>-34.760140902504823</v>
      </c>
      <c r="AB185">
        <f t="shared" ca="1" si="65"/>
        <v>-54.661469072204767</v>
      </c>
    </row>
    <row r="186" spans="1:28" x14ac:dyDescent="0.2">
      <c r="A186">
        <v>85000</v>
      </c>
      <c r="B186" t="str">
        <f t="shared" si="66"/>
        <v>85000i</v>
      </c>
      <c r="C186" t="str">
        <f t="shared" ca="1" si="52"/>
        <v>1+1.14362305163039i</v>
      </c>
      <c r="D186" t="str">
        <f t="shared" ca="1" si="53"/>
        <v>1+0.600396723002013i</v>
      </c>
      <c r="E186" t="str">
        <f t="shared" ca="1" si="54"/>
        <v>1+388.514853348983i</v>
      </c>
      <c r="F186">
        <f t="shared" ca="1" si="55"/>
        <v>69.486139019499433</v>
      </c>
      <c r="G186" t="str">
        <f t="shared" ca="1" si="67"/>
        <v>0.31206128446682-0.0552436576587618i</v>
      </c>
      <c r="H186">
        <f t="shared" ca="1" si="68"/>
        <v>-9.9811877767452586</v>
      </c>
      <c r="I186">
        <f t="shared" ca="1" si="69"/>
        <v>-10.038962558242462</v>
      </c>
      <c r="K186" t="str">
        <f t="shared" ca="1" si="56"/>
        <v>1+1.14362305163039i</v>
      </c>
      <c r="L186" t="str">
        <f t="shared" ca="1" si="57"/>
        <v>1-0.314604708709112i</v>
      </c>
      <c r="M186" t="str">
        <f t="shared" ca="1" si="58"/>
        <v>1+365.959376521724i</v>
      </c>
      <c r="N186" t="str">
        <f t="shared" si="59"/>
        <v>1+0.921010849490384i</v>
      </c>
      <c r="O186">
        <f t="shared" ca="1" si="60"/>
        <v>30.873410267617786</v>
      </c>
      <c r="P186" t="str">
        <f t="shared" ca="1" si="75"/>
        <v>-0.0190591824407851-0.0969701406855955i</v>
      </c>
      <c r="Q186">
        <f t="shared" ca="1" si="70"/>
        <v>-20.102627967464151</v>
      </c>
      <c r="R186">
        <f t="shared" ca="1" si="76"/>
        <v>-101.11956932445506</v>
      </c>
      <c r="T186" t="str">
        <f t="shared" si="61"/>
        <v>1+14.62i</v>
      </c>
      <c r="U186" t="str">
        <f t="shared" si="62"/>
        <v>1+0.85i</v>
      </c>
      <c r="V186" t="str">
        <f t="shared" si="63"/>
        <v>-0.00512995896032832i</v>
      </c>
      <c r="W186" t="str">
        <f t="shared" si="71"/>
        <v>0.0410098896277045-0.0399883651438771i</v>
      </c>
      <c r="X186">
        <f t="shared" si="72"/>
        <v>-24.840096017092357</v>
      </c>
      <c r="Y186">
        <f t="shared" si="73"/>
        <v>-44.277441977616931</v>
      </c>
      <c r="Z186">
        <f t="shared" si="74"/>
        <v>13528.170162811104</v>
      </c>
      <c r="AA186">
        <f t="shared" ca="1" si="64"/>
        <v>-34.821283793837615</v>
      </c>
      <c r="AB186">
        <f t="shared" ca="1" si="65"/>
        <v>-54.316404535859391</v>
      </c>
    </row>
    <row r="187" spans="1:28" x14ac:dyDescent="0.2">
      <c r="A187">
        <v>86000</v>
      </c>
      <c r="B187" t="str">
        <f t="shared" si="66"/>
        <v>86000i</v>
      </c>
      <c r="C187" t="str">
        <f t="shared" ca="1" si="52"/>
        <v>1+1.1570774404731i</v>
      </c>
      <c r="D187" t="str">
        <f t="shared" ca="1" si="53"/>
        <v>1+0.60746021386086i</v>
      </c>
      <c r="E187" t="str">
        <f t="shared" ca="1" si="54"/>
        <v>1+393.085616329559i</v>
      </c>
      <c r="F187">
        <f t="shared" ca="1" si="55"/>
        <v>69.486139019499433</v>
      </c>
      <c r="G187" t="str">
        <f t="shared" ca="1" si="67"/>
        <v>0.312050688892043-0.0517286150011643i</v>
      </c>
      <c r="H187">
        <f t="shared" ca="1" si="68"/>
        <v>-9.9977647383962438</v>
      </c>
      <c r="I187">
        <f t="shared" ca="1" si="69"/>
        <v>-9.4123233056762174</v>
      </c>
      <c r="K187" t="str">
        <f t="shared" ca="1" si="56"/>
        <v>1+1.1570774404731i</v>
      </c>
      <c r="L187" t="str">
        <f t="shared" ca="1" si="57"/>
        <v>1-0.318305940576278i</v>
      </c>
      <c r="M187" t="str">
        <f t="shared" ca="1" si="58"/>
        <v>1+370.264780951392i</v>
      </c>
      <c r="N187" t="str">
        <f t="shared" si="59"/>
        <v>1+0.931846271249094i</v>
      </c>
      <c r="O187">
        <f t="shared" ca="1" si="60"/>
        <v>30.873410267617786</v>
      </c>
      <c r="P187" t="str">
        <f t="shared" ca="1" si="75"/>
        <v>-0.0192113665746-0.0960001888949576i</v>
      </c>
      <c r="Q187">
        <f t="shared" ca="1" si="70"/>
        <v>-20.184027685383313</v>
      </c>
      <c r="R187">
        <f t="shared" ca="1" si="76"/>
        <v>-101.31643363753501</v>
      </c>
      <c r="T187" t="str">
        <f t="shared" si="61"/>
        <v>1+14.792i</v>
      </c>
      <c r="U187" t="str">
        <f t="shared" si="62"/>
        <v>1+0.86i</v>
      </c>
      <c r="V187" t="str">
        <f t="shared" si="63"/>
        <v>-0.0050703082747431i</v>
      </c>
      <c r="W187" t="str">
        <f t="shared" si="71"/>
        <v>0.0406067687305822-0.0399921293830438i</v>
      </c>
      <c r="X187">
        <f t="shared" si="72"/>
        <v>-24.883465312587653</v>
      </c>
      <c r="Y187">
        <f t="shared" si="73"/>
        <v>-44.563076434976459</v>
      </c>
      <c r="Z187">
        <f t="shared" si="74"/>
        <v>13687.325105902999</v>
      </c>
      <c r="AA187">
        <f t="shared" ca="1" si="64"/>
        <v>-34.881230050983895</v>
      </c>
      <c r="AB187">
        <f t="shared" ca="1" si="65"/>
        <v>-53.975399740652676</v>
      </c>
    </row>
    <row r="188" spans="1:28" x14ac:dyDescent="0.2">
      <c r="A188">
        <v>87000</v>
      </c>
      <c r="B188" t="str">
        <f t="shared" si="66"/>
        <v>87000i</v>
      </c>
      <c r="C188" t="str">
        <f t="shared" ca="1" si="52"/>
        <v>1+1.17053182931581i</v>
      </c>
      <c r="D188" t="str">
        <f t="shared" ca="1" si="53"/>
        <v>1+0.614523704719708i</v>
      </c>
      <c r="E188" t="str">
        <f t="shared" ca="1" si="54"/>
        <v>1+397.656379310136i</v>
      </c>
      <c r="F188">
        <f t="shared" ca="1" si="55"/>
        <v>69.486139019499433</v>
      </c>
      <c r="G188" t="str">
        <f t="shared" ca="1" si="67"/>
        <v>0.312040456574942-0.0482611643541052i</v>
      </c>
      <c r="H188">
        <f t="shared" ca="1" si="68"/>
        <v>-10.01311870066057</v>
      </c>
      <c r="I188">
        <f t="shared" ca="1" si="69"/>
        <v>-8.7918855394974962</v>
      </c>
      <c r="K188" t="str">
        <f t="shared" ca="1" si="56"/>
        <v>1+1.17053182931581i</v>
      </c>
      <c r="L188" t="str">
        <f t="shared" ca="1" si="57"/>
        <v>1-0.322007172443444i</v>
      </c>
      <c r="M188" t="str">
        <f t="shared" ca="1" si="58"/>
        <v>1+374.570185381059i</v>
      </c>
      <c r="N188" t="str">
        <f t="shared" si="59"/>
        <v>1+0.942681693007805i</v>
      </c>
      <c r="O188">
        <f t="shared" ca="1" si="60"/>
        <v>30.873410267617786</v>
      </c>
      <c r="P188" t="str">
        <f t="shared" ca="1" si="75"/>
        <v>-0.0193619084094273-0.0950509860874304i</v>
      </c>
      <c r="Q188">
        <f t="shared" ca="1" si="70"/>
        <v>-20.264300631840602</v>
      </c>
      <c r="R188">
        <f t="shared" ca="1" si="76"/>
        <v>-101.51364048002679</v>
      </c>
      <c r="T188" t="str">
        <f t="shared" si="61"/>
        <v>1+14.964i</v>
      </c>
      <c r="U188" t="str">
        <f t="shared" si="62"/>
        <v>1+0.87i</v>
      </c>
      <c r="V188" t="str">
        <f t="shared" si="63"/>
        <v>-0.00501202886928629i</v>
      </c>
      <c r="W188" t="str">
        <f t="shared" si="71"/>
        <v>0.0402069183696971-0.0399920478509228i</v>
      </c>
      <c r="X188">
        <f t="shared" si="72"/>
        <v>-24.926893378489524</v>
      </c>
      <c r="Y188">
        <f t="shared" si="73"/>
        <v>-44.846492480010042</v>
      </c>
      <c r="Z188">
        <f t="shared" si="74"/>
        <v>13846.480048994894</v>
      </c>
      <c r="AA188">
        <f t="shared" ca="1" si="64"/>
        <v>-34.940012079150094</v>
      </c>
      <c r="AB188">
        <f t="shared" ca="1" si="65"/>
        <v>-53.638378019507542</v>
      </c>
    </row>
    <row r="189" spans="1:28" x14ac:dyDescent="0.2">
      <c r="A189">
        <v>88000</v>
      </c>
      <c r="B189" t="str">
        <f t="shared" si="66"/>
        <v>88000i</v>
      </c>
      <c r="C189" t="str">
        <f t="shared" ca="1" si="52"/>
        <v>1+1.18398621815852i</v>
      </c>
      <c r="D189" t="str">
        <f t="shared" ca="1" si="53"/>
        <v>1+0.621587195578555i</v>
      </c>
      <c r="E189" t="str">
        <f t="shared" ca="1" si="54"/>
        <v>1+402.227142290712i</v>
      </c>
      <c r="F189">
        <f t="shared" ca="1" si="55"/>
        <v>69.486139019499433</v>
      </c>
      <c r="G189" t="str">
        <f t="shared" ca="1" si="67"/>
        <v>0.312030571098157-0.0448396833034962i</v>
      </c>
      <c r="H189">
        <f t="shared" ca="1" si="68"/>
        <v>-10.027286511584473</v>
      </c>
      <c r="I189">
        <f t="shared" ca="1" si="69"/>
        <v>-8.177583233440636</v>
      </c>
      <c r="K189" t="str">
        <f t="shared" ca="1" si="56"/>
        <v>1+1.18398621815852i</v>
      </c>
      <c r="L189" t="str">
        <f t="shared" ca="1" si="57"/>
        <v>1-0.32570840431061i</v>
      </c>
      <c r="M189" t="str">
        <f t="shared" ca="1" si="58"/>
        <v>1+378.875589810726i</v>
      </c>
      <c r="N189" t="str">
        <f t="shared" si="59"/>
        <v>1+0.953517114766515i</v>
      </c>
      <c r="O189">
        <f t="shared" ca="1" si="60"/>
        <v>30.873410267617786</v>
      </c>
      <c r="P189" t="str">
        <f t="shared" ca="1" si="75"/>
        <v>-0.019510809141873-0.09412181752504i</v>
      </c>
      <c r="Q189">
        <f t="shared" ca="1" si="70"/>
        <v>-20.343473840999845</v>
      </c>
      <c r="R189">
        <f t="shared" ca="1" si="76"/>
        <v>-101.71115873741512</v>
      </c>
      <c r="T189" t="str">
        <f t="shared" si="61"/>
        <v>1+15.136i</v>
      </c>
      <c r="U189" t="str">
        <f t="shared" si="62"/>
        <v>1+0.88i</v>
      </c>
      <c r="V189" t="str">
        <f t="shared" si="63"/>
        <v>-0.00495507399577167i</v>
      </c>
      <c r="W189" t="str">
        <f t="shared" si="71"/>
        <v>0.0398103780904649-0.0399882067153808i</v>
      </c>
      <c r="X189">
        <f t="shared" si="72"/>
        <v>-24.970374601518117</v>
      </c>
      <c r="Y189">
        <f t="shared" si="73"/>
        <v>-45.127681622963415</v>
      </c>
      <c r="Z189">
        <f t="shared" si="74"/>
        <v>14005.634992086791</v>
      </c>
      <c r="AA189">
        <f t="shared" ca="1" si="64"/>
        <v>-34.997661113102588</v>
      </c>
      <c r="AB189">
        <f t="shared" ca="1" si="65"/>
        <v>-53.305264856404051</v>
      </c>
    </row>
    <row r="190" spans="1:28" x14ac:dyDescent="0.2">
      <c r="A190">
        <v>89000</v>
      </c>
      <c r="B190" t="str">
        <f t="shared" si="66"/>
        <v>89000i</v>
      </c>
      <c r="C190" t="str">
        <f t="shared" ca="1" si="52"/>
        <v>1+1.19744060700123i</v>
      </c>
      <c r="D190" t="str">
        <f t="shared" ca="1" si="53"/>
        <v>1+0.628650686437402i</v>
      </c>
      <c r="E190" t="str">
        <f t="shared" ca="1" si="54"/>
        <v>1+406.797905271288i</v>
      </c>
      <c r="F190">
        <f t="shared" ca="1" si="55"/>
        <v>69.486139019499433</v>
      </c>
      <c r="G190" t="str">
        <f t="shared" ca="1" si="67"/>
        <v>0.312021016961424-0.0414626223504818i</v>
      </c>
      <c r="H190">
        <f t="shared" ca="1" si="68"/>
        <v>-10.040303779539572</v>
      </c>
      <c r="I190">
        <f t="shared" ca="1" si="69"/>
        <v>-7.5693505555738589</v>
      </c>
      <c r="K190" t="str">
        <f t="shared" ca="1" si="56"/>
        <v>1+1.19744060700123i</v>
      </c>
      <c r="L190" t="str">
        <f t="shared" ca="1" si="57"/>
        <v>1-0.329409636177776i</v>
      </c>
      <c r="M190" t="str">
        <f t="shared" ca="1" si="58"/>
        <v>1+383.180994240394i</v>
      </c>
      <c r="N190" t="str">
        <f t="shared" si="59"/>
        <v>1+0.964352536525226i</v>
      </c>
      <c r="O190">
        <f t="shared" ca="1" si="60"/>
        <v>30.873410267617786</v>
      </c>
      <c r="P190" t="str">
        <f t="shared" ca="1" si="75"/>
        <v>-0.0196580708767911-0.0932120020119779i</v>
      </c>
      <c r="Q190">
        <f t="shared" ca="1" si="70"/>
        <v>-20.421573350351917</v>
      </c>
      <c r="R190">
        <f t="shared" ca="1" si="76"/>
        <v>-101.90895805609952</v>
      </c>
      <c r="T190" t="str">
        <f t="shared" si="61"/>
        <v>1+15.308i</v>
      </c>
      <c r="U190" t="str">
        <f t="shared" si="62"/>
        <v>1+0.89i</v>
      </c>
      <c r="V190" t="str">
        <f t="shared" si="63"/>
        <v>-0.00489939900705513i</v>
      </c>
      <c r="W190" t="str">
        <f t="shared" si="71"/>
        <v>0.0394171836860224-0.0399806924876151i</v>
      </c>
      <c r="X190">
        <f t="shared" si="72"/>
        <v>-25.013903490720622</v>
      </c>
      <c r="Y190">
        <f t="shared" si="73"/>
        <v>-45.406637249183277</v>
      </c>
      <c r="Z190">
        <f t="shared" si="74"/>
        <v>14164.789935178685</v>
      </c>
      <c r="AA190">
        <f t="shared" ca="1" si="64"/>
        <v>-35.054207270260193</v>
      </c>
      <c r="AB190">
        <f t="shared" ca="1" si="65"/>
        <v>-52.975987804757139</v>
      </c>
    </row>
    <row r="191" spans="1:28" x14ac:dyDescent="0.2">
      <c r="A191">
        <v>90000</v>
      </c>
      <c r="B191" t="str">
        <f t="shared" si="66"/>
        <v>90000i</v>
      </c>
      <c r="C191" t="str">
        <f t="shared" ca="1" si="52"/>
        <v>1+1.21089499584394i</v>
      </c>
      <c r="D191" t="str">
        <f t="shared" ca="1" si="53"/>
        <v>1+0.635714177296249i</v>
      </c>
      <c r="E191" t="str">
        <f t="shared" ca="1" si="54"/>
        <v>1+411.368668251864i</v>
      </c>
      <c r="F191">
        <f t="shared" ca="1" si="55"/>
        <v>69.486139019499433</v>
      </c>
      <c r="G191" t="str">
        <f t="shared" ca="1" si="67"/>
        <v>0.312011779520793-0.0381285008607396i</v>
      </c>
      <c r="H191">
        <f t="shared" ca="1" si="68"/>
        <v>-10.052204923006951</v>
      </c>
      <c r="I191">
        <f t="shared" ca="1" si="69"/>
        <v>-6.9671219072335804</v>
      </c>
      <c r="K191" t="str">
        <f t="shared" ca="1" si="56"/>
        <v>1+1.21089499584394i</v>
      </c>
      <c r="L191" t="str">
        <f t="shared" ca="1" si="57"/>
        <v>1-0.333110868044942i</v>
      </c>
      <c r="M191" t="str">
        <f t="shared" ca="1" si="58"/>
        <v>1+387.486398670061i</v>
      </c>
      <c r="N191" t="str">
        <f t="shared" si="59"/>
        <v>1+0.975187958283936i</v>
      </c>
      <c r="O191">
        <f t="shared" ca="1" si="60"/>
        <v>30.873410267617786</v>
      </c>
      <c r="P191" t="str">
        <f t="shared" ca="1" si="75"/>
        <v>-0.0198036965926058-0.0923208899642973i</v>
      </c>
      <c r="Q191">
        <f t="shared" ca="1" si="70"/>
        <v>-20.498624247180722</v>
      </c>
      <c r="R191">
        <f t="shared" ca="1" si="76"/>
        <v>-102.10700883965713</v>
      </c>
      <c r="T191" t="str">
        <f t="shared" si="61"/>
        <v>1+15.48i</v>
      </c>
      <c r="U191" t="str">
        <f t="shared" si="62"/>
        <v>1+0.9i</v>
      </c>
      <c r="V191" t="str">
        <f t="shared" si="63"/>
        <v>-0.00484496124031008i</v>
      </c>
      <c r="W191" t="str">
        <f t="shared" si="71"/>
        <v>0.0390273673390723-0.0399695918454752i</v>
      </c>
      <c r="X191">
        <f t="shared" si="72"/>
        <v>-25.057474677913184</v>
      </c>
      <c r="Y191">
        <f t="shared" si="73"/>
        <v>-45.683354502802672</v>
      </c>
      <c r="Z191">
        <f t="shared" si="74"/>
        <v>14323.94487827058</v>
      </c>
      <c r="AA191">
        <f t="shared" ca="1" si="64"/>
        <v>-35.109679600920131</v>
      </c>
      <c r="AB191">
        <f t="shared" ca="1" si="65"/>
        <v>-52.650476410036255</v>
      </c>
    </row>
    <row r="192" spans="1:28" x14ac:dyDescent="0.2">
      <c r="A192">
        <v>91000</v>
      </c>
      <c r="B192" t="str">
        <f t="shared" si="66"/>
        <v>91000i</v>
      </c>
      <c r="C192" t="str">
        <f t="shared" ca="1" si="52"/>
        <v>1+1.22434938468665i</v>
      </c>
      <c r="D192" t="str">
        <f t="shared" ca="1" si="53"/>
        <v>1+0.642777668155096i</v>
      </c>
      <c r="E192" t="str">
        <f t="shared" ca="1" si="54"/>
        <v>1+415.939431232441i</v>
      </c>
      <c r="F192">
        <f t="shared" ca="1" si="55"/>
        <v>69.486139019499433</v>
      </c>
      <c r="G192" t="str">
        <f t="shared" ca="1" si="67"/>
        <v>0.31200284493246-0.0348359032808518i</v>
      </c>
      <c r="H192">
        <f t="shared" ca="1" si="68"/>
        <v>-10.063023217947437</v>
      </c>
      <c r="I192">
        <f t="shared" ca="1" si="69"/>
        <v>-6.3708319590984184</v>
      </c>
      <c r="K192" t="str">
        <f t="shared" ca="1" si="56"/>
        <v>1+1.22434938468665i</v>
      </c>
      <c r="L192" t="str">
        <f t="shared" ca="1" si="57"/>
        <v>1-0.336812099912108i</v>
      </c>
      <c r="M192" t="str">
        <f t="shared" ca="1" si="58"/>
        <v>1+391.791803099728i</v>
      </c>
      <c r="N192" t="str">
        <f t="shared" si="59"/>
        <v>1+0.986023380042646i</v>
      </c>
      <c r="O192">
        <f t="shared" ca="1" si="60"/>
        <v>30.873410267617786</v>
      </c>
      <c r="P192" t="str">
        <f t="shared" ca="1" si="75"/>
        <v>-0.0199476901060657-0.0914478616086744i</v>
      </c>
      <c r="Q192">
        <f t="shared" ca="1" si="70"/>
        <v>-20.574650712532826</v>
      </c>
      <c r="R192">
        <f t="shared" ca="1" si="76"/>
        <v>-102.30528224386144</v>
      </c>
      <c r="T192" t="str">
        <f t="shared" si="61"/>
        <v>1+15.652i</v>
      </c>
      <c r="U192" t="str">
        <f t="shared" si="62"/>
        <v>1+0.91i</v>
      </c>
      <c r="V192" t="str">
        <f t="shared" si="63"/>
        <v>-0.00479171990799898i</v>
      </c>
      <c r="W192" t="str">
        <f t="shared" si="71"/>
        <v>0.0386409577614578-0.0399549914709255i</v>
      </c>
      <c r="X192">
        <f t="shared" si="72"/>
        <v>-25.101082917852438</v>
      </c>
      <c r="Y192">
        <f t="shared" si="73"/>
        <v>-45.957830177212372</v>
      </c>
      <c r="Z192">
        <f t="shared" si="74"/>
        <v>14483.099821362475</v>
      </c>
      <c r="AA192">
        <f t="shared" ca="1" si="64"/>
        <v>-35.164106135799877</v>
      </c>
      <c r="AB192">
        <f t="shared" ca="1" si="65"/>
        <v>-52.32866213631079</v>
      </c>
    </row>
    <row r="193" spans="1:28" x14ac:dyDescent="0.2">
      <c r="A193">
        <v>92000</v>
      </c>
      <c r="B193" t="str">
        <f t="shared" si="66"/>
        <v>92000i</v>
      </c>
      <c r="C193" t="str">
        <f t="shared" ca="1" si="52"/>
        <v>1+1.23780377352936i</v>
      </c>
      <c r="D193" t="str">
        <f t="shared" ca="1" si="53"/>
        <v>1+0.649841159013944i</v>
      </c>
      <c r="E193" t="str">
        <f t="shared" ca="1" si="54"/>
        <v>1+420.510194213017i</v>
      </c>
      <c r="F193">
        <f t="shared" ca="1" si="55"/>
        <v>69.486139019499433</v>
      </c>
      <c r="G193" t="str">
        <f t="shared" ca="1" si="67"/>
        <v>0.311994200100888-0.0315834756014219i</v>
      </c>
      <c r="H193">
        <f t="shared" ca="1" si="68"/>
        <v>-10.072790842898048</v>
      </c>
      <c r="I193">
        <f t="shared" ca="1" si="69"/>
        <v>-5.7804156845558152</v>
      </c>
      <c r="K193" t="str">
        <f t="shared" ca="1" si="56"/>
        <v>1+1.23780377352936i</v>
      </c>
      <c r="L193" t="str">
        <f t="shared" ca="1" si="57"/>
        <v>1-0.340513331779274i</v>
      </c>
      <c r="M193" t="str">
        <f t="shared" ca="1" si="58"/>
        <v>1+396.097207529396i</v>
      </c>
      <c r="N193" t="str">
        <f t="shared" si="59"/>
        <v>1+0.996858801801357i</v>
      </c>
      <c r="O193">
        <f t="shared" ca="1" si="60"/>
        <v>30.873410267617786</v>
      </c>
      <c r="P193" t="str">
        <f t="shared" ca="1" si="75"/>
        <v>-0.0200900560366623-0.0905923253004433i</v>
      </c>
      <c r="Q193">
        <f t="shared" ca="1" si="70"/>
        <v>-20.6496760628429</v>
      </c>
      <c r="R193">
        <f t="shared" ca="1" si="76"/>
        <v>-102.50375017057961</v>
      </c>
      <c r="T193" t="str">
        <f t="shared" si="61"/>
        <v>1+15.824i</v>
      </c>
      <c r="U193" t="str">
        <f t="shared" si="62"/>
        <v>1+0.92i</v>
      </c>
      <c r="V193" t="str">
        <f t="shared" si="63"/>
        <v>-0.00473963599595551i</v>
      </c>
      <c r="W193" t="str">
        <f t="shared" si="71"/>
        <v>0.0382579803313047-0.0399369779007558i</v>
      </c>
      <c r="X193">
        <f t="shared" si="72"/>
        <v>-25.144723088161083</v>
      </c>
      <c r="Y193">
        <f t="shared" si="73"/>
        <v>-46.230062611874573</v>
      </c>
      <c r="Z193">
        <f t="shared" si="74"/>
        <v>14642.254764454372</v>
      </c>
      <c r="AA193">
        <f t="shared" ca="1" si="64"/>
        <v>-35.217513931059131</v>
      </c>
      <c r="AB193">
        <f t="shared" ca="1" si="65"/>
        <v>-52.010478296430385</v>
      </c>
    </row>
    <row r="194" spans="1:28" x14ac:dyDescent="0.2">
      <c r="A194">
        <v>93000</v>
      </c>
      <c r="B194" t="str">
        <f t="shared" si="66"/>
        <v>93000i</v>
      </c>
      <c r="C194" t="str">
        <f t="shared" ref="C194:C257" ca="1" si="77">IMSUM(1,IMDIV(B194,CcmWz1))</f>
        <v>1+1.25125816237207i</v>
      </c>
      <c r="D194" t="str">
        <f t="shared" ref="D194:D257" ca="1" si="78">IMSUM(1,IMDIV(B194,CcmWz2))</f>
        <v>1+0.656904649872791i</v>
      </c>
      <c r="E194" t="str">
        <f t="shared" ref="E194:E257" ca="1" si="79">IMSUM(1,IMDIV(B194,CcmWp1))</f>
        <v>1+425.080957193593i</v>
      </c>
      <c r="F194">
        <f t="shared" ref="F194:F257" ca="1" si="80">CcmGo</f>
        <v>69.486139019499433</v>
      </c>
      <c r="G194" t="str">
        <f t="shared" ca="1" si="67"/>
        <v>0.311985832630783-0.028369922048369i</v>
      </c>
      <c r="H194">
        <f t="shared" ca="1" si="68"/>
        <v>-10.081538921928519</v>
      </c>
      <c r="I194">
        <f t="shared" ca="1" si="69"/>
        <v>-5.1958083905130739</v>
      </c>
      <c r="K194" t="str">
        <f t="shared" ref="K194:K257" ca="1" si="81">IMSUM(1,IMDIV(B194,DcmWz1))</f>
        <v>1+1.25125816237207i</v>
      </c>
      <c r="L194" t="str">
        <f t="shared" ref="L194:L257" ca="1" si="82">IMSUB(1,IMDIV($B194,DcmWz2))</f>
        <v>1-0.34421456364644i</v>
      </c>
      <c r="M194" t="str">
        <f t="shared" ref="M194:M257" ca="1" si="83">IMSUM(1,IMDIV($B194,DcmWp1))</f>
        <v>1+400.402611959063i</v>
      </c>
      <c r="N194" t="str">
        <f t="shared" ref="N194:N257" si="84">IMSUM(1,IMDIV($B194,DcmWp2))</f>
        <v>1+1.00769422356007i</v>
      </c>
      <c r="O194">
        <f t="shared" ref="O194:O257" ca="1" si="85">DcmGo</f>
        <v>30.873410267617786</v>
      </c>
      <c r="P194" t="str">
        <f t="shared" ca="1" si="75"/>
        <v>-0.0202307997709134-0.0897537159519472i</v>
      </c>
      <c r="Q194">
        <f t="shared" ca="1" si="70"/>
        <v>-20.723722789356685</v>
      </c>
      <c r="R194">
        <f t="shared" ca="1" si="76"/>
        <v>-102.70238526066082</v>
      </c>
      <c r="T194" t="str">
        <f t="shared" ref="T194:T257" si="86">IMSUM(1,IMPRODUCT($B194,1/CompWz1))</f>
        <v>1+15.996i</v>
      </c>
      <c r="U194" t="str">
        <f t="shared" ref="U194:U257" si="87">IMSUM(1,IMPRODUCT($B194,1/CompWp1))</f>
        <v>1+0.93i</v>
      </c>
      <c r="V194" t="str">
        <f t="shared" ref="V194:V257" si="88">IMDIV(CompA,$B194)</f>
        <v>-0.00468867216804201i</v>
      </c>
      <c r="W194" t="str">
        <f t="shared" si="71"/>
        <v>0.0378784572275837-0.0399156373896949i</v>
      </c>
      <c r="X194">
        <f t="shared" si="72"/>
        <v>-25.18839018903109</v>
      </c>
      <c r="Y194">
        <f t="shared" si="73"/>
        <v>-46.500051595068385</v>
      </c>
      <c r="Z194">
        <f t="shared" si="74"/>
        <v>14801.409707546267</v>
      </c>
      <c r="AA194">
        <f t="shared" ref="AA194:AA257" ca="1" si="89">IF(IsDcmBode, X194+Q194,X194+H194)</f>
        <v>-35.269929110959609</v>
      </c>
      <c r="AB194">
        <f t="shared" ref="AB194:AB257" ca="1" si="90">IF(IsDcmBode, Y194+R194,Y194+I194)</f>
        <v>-51.695859985581457</v>
      </c>
    </row>
    <row r="195" spans="1:28" x14ac:dyDescent="0.2">
      <c r="A195">
        <v>94000</v>
      </c>
      <c r="B195" t="str">
        <f t="shared" ref="B195:B258" si="91">COMPLEX(0,A195)</f>
        <v>94000i</v>
      </c>
      <c r="C195" t="str">
        <f t="shared" ca="1" si="77"/>
        <v>1+1.26471255121478i</v>
      </c>
      <c r="D195" t="str">
        <f t="shared" ca="1" si="78"/>
        <v>1+0.663968140731638i</v>
      </c>
      <c r="E195" t="str">
        <f t="shared" ca="1" si="79"/>
        <v>1+429.651720174169i</v>
      </c>
      <c r="F195">
        <f t="shared" ca="1" si="80"/>
        <v>69.486139019499433</v>
      </c>
      <c r="G195" t="str">
        <f t="shared" ref="G195:G258" ca="1" si="92">IMDIV(IMPRODUCT(F195,C195,D195),E195)</f>
        <v>0.311977730782648-0.0251940019854086i</v>
      </c>
      <c r="H195">
        <f t="shared" ref="H195:H258" ca="1" si="93">20*LOG(IMABS(G195),10)</f>
        <v>-10.089297565579184</v>
      </c>
      <c r="I195">
        <f t="shared" ref="I195:I258" ca="1" si="94">IMARGUMENT(G195)*180/PI()</f>
        <v>-4.6169457457942693</v>
      </c>
      <c r="K195" t="str">
        <f t="shared" ca="1" si="81"/>
        <v>1+1.26471255121478i</v>
      </c>
      <c r="L195" t="str">
        <f t="shared" ca="1" si="82"/>
        <v>1-0.347915795513606i</v>
      </c>
      <c r="M195" t="str">
        <f t="shared" ca="1" si="83"/>
        <v>1+404.70801638873i</v>
      </c>
      <c r="N195" t="str">
        <f t="shared" si="84"/>
        <v>1+1.01852964531878i</v>
      </c>
      <c r="O195">
        <f t="shared" ca="1" si="85"/>
        <v>30.873410267617786</v>
      </c>
      <c r="P195" t="str">
        <f t="shared" ca="1" si="75"/>
        <v>-0.0203699274266916-0.0889314935630022i</v>
      </c>
      <c r="Q195">
        <f t="shared" ref="Q195:Q258" ca="1" si="95">20*LOG(IMABS(P195),10)</f>
        <v>-20.796812595483097</v>
      </c>
      <c r="R195">
        <f t="shared" ca="1" si="76"/>
        <v>-102.90116088592386</v>
      </c>
      <c r="T195" t="str">
        <f t="shared" si="86"/>
        <v>1+16.168i</v>
      </c>
      <c r="U195" t="str">
        <f t="shared" si="87"/>
        <v>1+0.94i</v>
      </c>
      <c r="V195" t="str">
        <f t="shared" si="88"/>
        <v>-0.00463879267689263i</v>
      </c>
      <c r="W195" t="str">
        <f t="shared" ref="W195:W258" si="96">IMDIV(IMPRODUCT(V195,T195),U195)</f>
        <v>0.0375024075619669-0.0398910557851416i</v>
      </c>
      <c r="X195">
        <f t="shared" ref="X195:X258" si="97">20*LOG(IMABS(W195),10)</f>
        <v>-25.232079342725221</v>
      </c>
      <c r="Y195">
        <f t="shared" ref="Y195:Y258" si="98">IMARGUMENT(W195)*180/PI()</f>
        <v>-46.767798272192039</v>
      </c>
      <c r="Z195">
        <f t="shared" ref="Z195:Z258" si="99">A195/(2*PI())</f>
        <v>14960.564650638162</v>
      </c>
      <c r="AA195">
        <f t="shared" ca="1" si="89"/>
        <v>-35.321376908304401</v>
      </c>
      <c r="AB195">
        <f t="shared" ca="1" si="90"/>
        <v>-51.384744017986307</v>
      </c>
    </row>
    <row r="196" spans="1:28" x14ac:dyDescent="0.2">
      <c r="A196">
        <v>95000</v>
      </c>
      <c r="B196" t="str">
        <f t="shared" si="91"/>
        <v>95000i</v>
      </c>
      <c r="C196" t="str">
        <f t="shared" ca="1" si="77"/>
        <v>1+1.27816694005749i</v>
      </c>
      <c r="D196" t="str">
        <f t="shared" ca="1" si="78"/>
        <v>1+0.671031631590485i</v>
      </c>
      <c r="E196" t="str">
        <f t="shared" ca="1" si="79"/>
        <v>1+434.222483154746i</v>
      </c>
      <c r="F196">
        <f t="shared" ca="1" si="80"/>
        <v>69.486139019499433</v>
      </c>
      <c r="G196" t="str">
        <f t="shared" ca="1" si="92"/>
        <v>0.31196988343157-0.0220545270121581i</v>
      </c>
      <c r="H196">
        <f t="shared" ca="1" si="93"/>
        <v>-10.096095909895615</v>
      </c>
      <c r="I196">
        <f t="shared" ca="1" si="94"/>
        <v>-4.0437638072599293</v>
      </c>
      <c r="K196" t="str">
        <f t="shared" ca="1" si="81"/>
        <v>1+1.27816694005749i</v>
      </c>
      <c r="L196" t="str">
        <f t="shared" ca="1" si="82"/>
        <v>1-0.351617027380772i</v>
      </c>
      <c r="M196" t="str">
        <f t="shared" ca="1" si="83"/>
        <v>1+409.013420818398i</v>
      </c>
      <c r="N196" t="str">
        <f t="shared" si="84"/>
        <v>1+1.02936506707749i</v>
      </c>
      <c r="O196">
        <f t="shared" ca="1" si="85"/>
        <v>30.873410267617786</v>
      </c>
      <c r="P196" t="str">
        <f t="shared" ca="1" si="75"/>
        <v>-0.0205074458177494-0.088125141845954i</v>
      </c>
      <c r="Q196">
        <f t="shared" ca="1" si="95"/>
        <v>-20.868966432198551</v>
      </c>
      <c r="R196">
        <f t="shared" ca="1" si="76"/>
        <v>-103.10005114034048</v>
      </c>
      <c r="T196" t="str">
        <f t="shared" si="86"/>
        <v>1+16.34i</v>
      </c>
      <c r="U196" t="str">
        <f t="shared" si="87"/>
        <v>1+0.95i</v>
      </c>
      <c r="V196" t="str">
        <f t="shared" si="88"/>
        <v>-0.00458996328029376i</v>
      </c>
      <c r="W196" t="str">
        <f t="shared" si="96"/>
        <v>0.0371298475078691-0.0398633184127694i</v>
      </c>
      <c r="X196">
        <f t="shared" si="97"/>
        <v>-25.275785792896585</v>
      </c>
      <c r="Y196">
        <f t="shared" si="98"/>
        <v>-47.033305059271505</v>
      </c>
      <c r="Z196">
        <f t="shared" si="99"/>
        <v>15119.719593730057</v>
      </c>
      <c r="AA196">
        <f t="shared" ca="1" si="89"/>
        <v>-35.371881702792201</v>
      </c>
      <c r="AB196">
        <f t="shared" ca="1" si="90"/>
        <v>-51.077068866531434</v>
      </c>
    </row>
    <row r="197" spans="1:28" x14ac:dyDescent="0.2">
      <c r="A197">
        <v>96000</v>
      </c>
      <c r="B197" t="str">
        <f t="shared" si="91"/>
        <v>96000i</v>
      </c>
      <c r="C197" t="str">
        <f t="shared" ca="1" si="77"/>
        <v>1+1.2916213289002i</v>
      </c>
      <c r="D197" t="str">
        <f t="shared" ca="1" si="78"/>
        <v>1+0.678095122449333i</v>
      </c>
      <c r="E197" t="str">
        <f t="shared" ca="1" si="79"/>
        <v>1+438.793246135322i</v>
      </c>
      <c r="F197">
        <f t="shared" ca="1" si="80"/>
        <v>69.486139019499433</v>
      </c>
      <c r="G197" t="str">
        <f t="shared" ca="1" si="92"/>
        <v>0.311962280029026-0.0189503582436037i</v>
      </c>
      <c r="H197">
        <f t="shared" ca="1" si="93"/>
        <v>-10.101962153664925</v>
      </c>
      <c r="I197">
        <f t="shared" ca="1" si="94"/>
        <v>-3.4761990437785153</v>
      </c>
      <c r="K197" t="str">
        <f t="shared" ca="1" si="81"/>
        <v>1+1.2916213289002i</v>
      </c>
      <c r="L197" t="str">
        <f t="shared" ca="1" si="82"/>
        <v>1-0.355318259247938i</v>
      </c>
      <c r="M197" t="str">
        <f t="shared" ca="1" si="83"/>
        <v>1+413.318825248065i</v>
      </c>
      <c r="N197" t="str">
        <f t="shared" si="84"/>
        <v>1+1.0402004888362i</v>
      </c>
      <c r="O197">
        <f t="shared" ca="1" si="85"/>
        <v>30.873410267617786</v>
      </c>
      <c r="P197" t="str">
        <f t="shared" ca="1" si="75"/>
        <v>-0.0206433624185771-0.0873341669384326i</v>
      </c>
      <c r="Q197">
        <f t="shared" ca="1" si="95"/>
        <v>-20.940204531617361</v>
      </c>
      <c r="R197">
        <f t="shared" ca="1" si="76"/>
        <v>-103.29903083050731</v>
      </c>
      <c r="T197" t="str">
        <f t="shared" si="86"/>
        <v>1+16.512i</v>
      </c>
      <c r="U197" t="str">
        <f t="shared" si="87"/>
        <v>1+0.96i</v>
      </c>
      <c r="V197" t="str">
        <f t="shared" si="88"/>
        <v>-0.0045421511627907i</v>
      </c>
      <c r="W197" t="str">
        <f t="shared" si="96"/>
        <v>0.0367607904265825-0.0398325099723099i</v>
      </c>
      <c r="X197">
        <f t="shared" si="97"/>
        <v>-25.319504903743898</v>
      </c>
      <c r="Y197">
        <f t="shared" si="98"/>
        <v>-47.296575561353656</v>
      </c>
      <c r="Z197">
        <f t="shared" si="99"/>
        <v>15278.874536821953</v>
      </c>
      <c r="AA197">
        <f t="shared" ca="1" si="89"/>
        <v>-35.421467057408819</v>
      </c>
      <c r="AB197">
        <f t="shared" ca="1" si="90"/>
        <v>-50.77277460513217</v>
      </c>
    </row>
    <row r="198" spans="1:28" x14ac:dyDescent="0.2">
      <c r="A198">
        <v>97000</v>
      </c>
      <c r="B198" t="str">
        <f t="shared" si="91"/>
        <v>97000i</v>
      </c>
      <c r="C198" t="str">
        <f t="shared" ca="1" si="77"/>
        <v>1+1.30507571774291i</v>
      </c>
      <c r="D198" t="str">
        <f t="shared" ca="1" si="78"/>
        <v>1+0.68515861330818i</v>
      </c>
      <c r="E198" t="str">
        <f t="shared" ca="1" si="79"/>
        <v>1+443.364009115898i</v>
      </c>
      <c r="F198">
        <f t="shared" ca="1" si="80"/>
        <v>69.486139019499433</v>
      </c>
      <c r="G198" t="str">
        <f t="shared" ca="1" si="92"/>
        <v>0.3119549105674-0.0158804037578428i</v>
      </c>
      <c r="H198">
        <f t="shared" ca="1" si="93"/>
        <v>-10.106923593954583</v>
      </c>
      <c r="I198">
        <f t="shared" ca="1" si="94"/>
        <v>-2.9141883581748025</v>
      </c>
      <c r="K198" t="str">
        <f t="shared" ca="1" si="81"/>
        <v>1+1.30507571774291i</v>
      </c>
      <c r="L198" t="str">
        <f t="shared" ca="1" si="82"/>
        <v>1-0.359019491115104i</v>
      </c>
      <c r="M198" t="str">
        <f t="shared" ca="1" si="83"/>
        <v>1+417.624229677732i</v>
      </c>
      <c r="N198" t="str">
        <f t="shared" si="84"/>
        <v>1+1.05103591059491i</v>
      </c>
      <c r="O198">
        <f t="shared" ca="1" si="85"/>
        <v>30.873410267617786</v>
      </c>
      <c r="P198" t="str">
        <f t="shared" ca="1" si="75"/>
        <v>-0.0207776853297132-0.0865580961974661i</v>
      </c>
      <c r="Q198">
        <f t="shared" ca="1" si="95"/>
        <v>-21.010546438835437</v>
      </c>
      <c r="R198">
        <f t="shared" ca="1" si="76"/>
        <v>-103.49807546549395</v>
      </c>
      <c r="T198" t="str">
        <f t="shared" si="86"/>
        <v>1+16.684i</v>
      </c>
      <c r="U198" t="str">
        <f t="shared" si="87"/>
        <v>1+0.97i</v>
      </c>
      <c r="V198" t="str">
        <f t="shared" si="88"/>
        <v>-0.00449532486214337i</v>
      </c>
      <c r="W198" t="str">
        <f t="shared" si="96"/>
        <v>0.0363952469904276-0.0397987144428581i</v>
      </c>
      <c r="X198">
        <f t="shared" si="97"/>
        <v>-25.363232159019088</v>
      </c>
      <c r="Y198">
        <f t="shared" si="98"/>
        <v>-47.557614495483911</v>
      </c>
      <c r="Z198">
        <f t="shared" si="99"/>
        <v>15438.029479913848</v>
      </c>
      <c r="AA198">
        <f t="shared" ca="1" si="89"/>
        <v>-35.470155752973668</v>
      </c>
      <c r="AB198">
        <f t="shared" ca="1" si="90"/>
        <v>-50.471802853658716</v>
      </c>
    </row>
    <row r="199" spans="1:28" x14ac:dyDescent="0.2">
      <c r="A199">
        <v>98000</v>
      </c>
      <c r="B199" t="str">
        <f t="shared" si="91"/>
        <v>98000i</v>
      </c>
      <c r="C199" t="str">
        <f t="shared" ca="1" si="77"/>
        <v>1+1.31853010658562i</v>
      </c>
      <c r="D199" t="str">
        <f t="shared" ca="1" si="78"/>
        <v>1+0.692222104167027i</v>
      </c>
      <c r="E199" t="str">
        <f t="shared" ca="1" si="79"/>
        <v>1+447.934772096475i</v>
      </c>
      <c r="F199">
        <f t="shared" ca="1" si="80"/>
        <v>69.486139019499433</v>
      </c>
      <c r="G199" t="str">
        <f t="shared" ca="1" si="92"/>
        <v>0.311947765547054-0.0128436162000787i</v>
      </c>
      <c r="H199">
        <f t="shared" ca="1" si="93"/>
        <v>-10.111006660044616</v>
      </c>
      <c r="I199">
        <f t="shared" ca="1" si="94"/>
        <v>-2.3576691072714162</v>
      </c>
      <c r="K199" t="str">
        <f t="shared" ca="1" si="81"/>
        <v>1+1.31853010658562i</v>
      </c>
      <c r="L199" t="str">
        <f t="shared" ca="1" si="82"/>
        <v>1-0.36272072298227i</v>
      </c>
      <c r="M199" t="str">
        <f t="shared" ca="1" si="83"/>
        <v>1+421.9296341074i</v>
      </c>
      <c r="N199" t="str">
        <f t="shared" si="84"/>
        <v>1+1.06187133235362i</v>
      </c>
      <c r="O199">
        <f t="shared" ca="1" si="85"/>
        <v>30.873410267617786</v>
      </c>
      <c r="P199" t="str">
        <f t="shared" ca="1" si="75"/>
        <v>-0.020910423243601-0.0857964770691348i</v>
      </c>
      <c r="Q199">
        <f t="shared" ca="1" si="95"/>
        <v>-21.080011042146669</v>
      </c>
      <c r="R199">
        <f t="shared" ca="1" si="76"/>
        <v>-103.69716124614291</v>
      </c>
      <c r="T199" t="str">
        <f t="shared" si="86"/>
        <v>1+16.856i</v>
      </c>
      <c r="U199" t="str">
        <f t="shared" si="87"/>
        <v>1+0.98i</v>
      </c>
      <c r="V199" t="str">
        <f t="shared" si="88"/>
        <v>-0.00444945420028477i</v>
      </c>
      <c r="W199" t="str">
        <f t="shared" si="96"/>
        <v>0.0360332253028571-0.0397620149970847i</v>
      </c>
      <c r="X199">
        <f t="shared" si="97"/>
        <v>-25.406963160902279</v>
      </c>
      <c r="Y199">
        <f t="shared" si="98"/>
        <v>-47.816427617992943</v>
      </c>
      <c r="Z199">
        <f t="shared" si="99"/>
        <v>15597.184423005743</v>
      </c>
      <c r="AA199">
        <f t="shared" ca="1" si="89"/>
        <v>-35.517969820946895</v>
      </c>
      <c r="AB199">
        <f t="shared" ca="1" si="90"/>
        <v>-50.174096725264363</v>
      </c>
    </row>
    <row r="200" spans="1:28" x14ac:dyDescent="0.2">
      <c r="A200">
        <v>99000</v>
      </c>
      <c r="B200" t="str">
        <f t="shared" si="91"/>
        <v>99000i</v>
      </c>
      <c r="C200" t="str">
        <f t="shared" ca="1" si="77"/>
        <v>1+1.33198449542833i</v>
      </c>
      <c r="D200" t="str">
        <f t="shared" ca="1" si="78"/>
        <v>1+0.699285595025874i</v>
      </c>
      <c r="E200" t="str">
        <f t="shared" ca="1" si="79"/>
        <v>1+452.505535077051i</v>
      </c>
      <c r="F200">
        <f t="shared" ca="1" si="80"/>
        <v>69.486139019499433</v>
      </c>
      <c r="G200" t="str">
        <f t="shared" ca="1" si="92"/>
        <v>0.311940835945683-0.0098389905318261i</v>
      </c>
      <c r="H200">
        <f t="shared" ca="1" si="93"/>
        <v>-10.114236945841565</v>
      </c>
      <c r="I200">
        <f t="shared" ca="1" si="94"/>
        <v>-1.8065791201376964</v>
      </c>
      <c r="K200" t="str">
        <f t="shared" ca="1" si="81"/>
        <v>1+1.33198449542833i</v>
      </c>
      <c r="L200" t="str">
        <f t="shared" ca="1" si="82"/>
        <v>1-0.366421954849436i</v>
      </c>
      <c r="M200" t="str">
        <f t="shared" ca="1" si="83"/>
        <v>1+426.235038537067i</v>
      </c>
      <c r="N200" t="str">
        <f t="shared" si="84"/>
        <v>1+1.07270675411233i</v>
      </c>
      <c r="O200">
        <f t="shared" ca="1" si="85"/>
        <v>30.873410267617786</v>
      </c>
      <c r="P200" t="str">
        <f t="shared" ca="1" si="75"/>
        <v>-0.021041585411084-0.0850488760284075i</v>
      </c>
      <c r="Q200">
        <f t="shared" ca="1" si="95"/>
        <v>-21.148616601725148</v>
      </c>
      <c r="R200">
        <f t="shared" ca="1" si="76"/>
        <v>-103.89626505389872</v>
      </c>
      <c r="T200" t="str">
        <f t="shared" si="86"/>
        <v>1+17.028i</v>
      </c>
      <c r="U200" t="str">
        <f t="shared" si="87"/>
        <v>1+0.99i</v>
      </c>
      <c r="V200" t="str">
        <f t="shared" si="88"/>
        <v>-0.00440451021846371i</v>
      </c>
      <c r="W200" t="str">
        <f t="shared" si="96"/>
        <v>0.0356747310154644-0.0397224939237734i</v>
      </c>
      <c r="X200">
        <f t="shared" si="97"/>
        <v>-25.450693628758422</v>
      </c>
      <c r="Y200">
        <f t="shared" si="98"/>
        <v>-48.073021655833131</v>
      </c>
      <c r="Z200">
        <f t="shared" si="99"/>
        <v>15756.339366097638</v>
      </c>
      <c r="AA200">
        <f t="shared" ca="1" si="89"/>
        <v>-35.564930574599984</v>
      </c>
      <c r="AB200">
        <f t="shared" ca="1" si="90"/>
        <v>-49.879600775970829</v>
      </c>
    </row>
    <row r="201" spans="1:28" x14ac:dyDescent="0.2">
      <c r="A201">
        <v>100000</v>
      </c>
      <c r="B201" t="str">
        <f t="shared" si="91"/>
        <v>100000i</v>
      </c>
      <c r="C201" t="str">
        <f t="shared" ca="1" si="77"/>
        <v>1+1.34543888427104i</v>
      </c>
      <c r="D201" t="str">
        <f t="shared" ca="1" si="78"/>
        <v>1+0.706349085884721i</v>
      </c>
      <c r="E201" t="str">
        <f t="shared" ca="1" si="79"/>
        <v>1+457.076298057627i</v>
      </c>
      <c r="F201">
        <f t="shared" ca="1" si="80"/>
        <v>69.486139019499433</v>
      </c>
      <c r="G201" t="str">
        <f t="shared" ca="1" si="92"/>
        <v>0.311934113189827-0.0068655619151566i</v>
      </c>
      <c r="H201">
        <f t="shared" ca="1" si="93"/>
        <v>-10.11663924085366</v>
      </c>
      <c r="I201">
        <f t="shared" ca="1" si="94"/>
        <v>-1.2608567146507046</v>
      </c>
      <c r="K201" t="str">
        <f t="shared" ca="1" si="81"/>
        <v>1+1.34543888427104i</v>
      </c>
      <c r="L201" t="str">
        <f t="shared" ca="1" si="82"/>
        <v>1-0.370123186716602i</v>
      </c>
      <c r="M201" t="str">
        <f t="shared" ca="1" si="83"/>
        <v>1+430.540442966734i</v>
      </c>
      <c r="N201" t="str">
        <f t="shared" si="84"/>
        <v>1+1.08354217587104i</v>
      </c>
      <c r="O201">
        <f t="shared" ca="1" si="85"/>
        <v>30.873410267617786</v>
      </c>
      <c r="P201" t="str">
        <f t="shared" ca="1" si="75"/>
        <v>-0.021171181608606-0.0843148775842284i</v>
      </c>
      <c r="Q201">
        <f t="shared" ca="1" si="95"/>
        <v>-21.216380776860568</v>
      </c>
      <c r="R201">
        <f t="shared" ca="1" si="76"/>
        <v>-104.09536443923103</v>
      </c>
      <c r="T201" t="str">
        <f t="shared" si="86"/>
        <v>1+17.2i</v>
      </c>
      <c r="U201" t="str">
        <f t="shared" si="87"/>
        <v>1+i</v>
      </c>
      <c r="V201" t="str">
        <f t="shared" si="88"/>
        <v>-0.00436046511627907i</v>
      </c>
      <c r="W201" t="str">
        <f t="shared" si="96"/>
        <v>0.0353197674418605-0.0396802325581395i</v>
      </c>
      <c r="X201">
        <f t="shared" si="97"/>
        <v>-25.494419397787965</v>
      </c>
      <c r="Y201">
        <f t="shared" si="98"/>
        <v>-48.327404241726519</v>
      </c>
      <c r="Z201">
        <f t="shared" si="99"/>
        <v>15915.494309189535</v>
      </c>
      <c r="AA201">
        <f t="shared" ca="1" si="89"/>
        <v>-35.611058638641623</v>
      </c>
      <c r="AB201">
        <f t="shared" ca="1" si="90"/>
        <v>-49.588260956377226</v>
      </c>
    </row>
    <row r="202" spans="1:28" x14ac:dyDescent="0.2">
      <c r="A202">
        <v>110000</v>
      </c>
      <c r="B202" t="str">
        <f t="shared" si="91"/>
        <v>110000i</v>
      </c>
      <c r="C202" t="str">
        <f t="shared" ca="1" si="77"/>
        <v>1+1.47998277269815i</v>
      </c>
      <c r="D202" t="str">
        <f t="shared" ca="1" si="78"/>
        <v>1+0.776983994473194i</v>
      </c>
      <c r="E202" t="str">
        <f t="shared" ca="1" si="79"/>
        <v>1+502.78392786339i</v>
      </c>
      <c r="F202">
        <f t="shared" ca="1" si="80"/>
        <v>69.486139019499433</v>
      </c>
      <c r="G202" t="str">
        <f t="shared" ca="1" si="92"/>
        <v>0.311876648776149+0.0213400655151135i</v>
      </c>
      <c r="H202">
        <f t="shared" ca="1" si="93"/>
        <v>-10.100056869253093</v>
      </c>
      <c r="I202">
        <f t="shared" ca="1" si="94"/>
        <v>3.9143451112671346</v>
      </c>
      <c r="K202" t="str">
        <f t="shared" ca="1" si="81"/>
        <v>1+1.47998277269815i</v>
      </c>
      <c r="L202" t="str">
        <f t="shared" ca="1" si="82"/>
        <v>1-0.407135505388262i</v>
      </c>
      <c r="M202" t="str">
        <f t="shared" ca="1" si="83"/>
        <v>1+473.594487263408i</v>
      </c>
      <c r="N202" t="str">
        <f t="shared" si="84"/>
        <v>1+1.19189639345814i</v>
      </c>
      <c r="O202">
        <f t="shared" ca="1" si="85"/>
        <v>30.873410267617786</v>
      </c>
      <c r="P202" t="str">
        <f t="shared" ca="1" si="75"/>
        <v>-0.0223834803063963-0.0776428092163279i</v>
      </c>
      <c r="Q202">
        <f t="shared" ca="1" si="95"/>
        <v>-21.851249948458538</v>
      </c>
      <c r="R202">
        <f t="shared" ca="1" si="76"/>
        <v>-106.08162997722556</v>
      </c>
      <c r="T202" t="str">
        <f t="shared" si="86"/>
        <v>1+18.92i</v>
      </c>
      <c r="U202" t="str">
        <f t="shared" si="87"/>
        <v>1+1.1i</v>
      </c>
      <c r="V202" t="str">
        <f t="shared" si="88"/>
        <v>-0.00396405919661734i</v>
      </c>
      <c r="W202" t="str">
        <f t="shared" si="96"/>
        <v>0.0319635904451226-0.0391240086862522i</v>
      </c>
      <c r="X202">
        <f t="shared" si="97"/>
        <v>-25.930582114173486</v>
      </c>
      <c r="Y202">
        <f t="shared" si="98"/>
        <v>-50.751813939406176</v>
      </c>
      <c r="Z202">
        <f t="shared" si="99"/>
        <v>17507.043740108489</v>
      </c>
      <c r="AA202">
        <f t="shared" ca="1" si="89"/>
        <v>-36.030638983426577</v>
      </c>
      <c r="AB202">
        <f t="shared" ca="1" si="90"/>
        <v>-46.837468828139045</v>
      </c>
    </row>
    <row r="203" spans="1:28" x14ac:dyDescent="0.2">
      <c r="A203">
        <v>120000</v>
      </c>
      <c r="B203" t="str">
        <f t="shared" si="91"/>
        <v>120000i</v>
      </c>
      <c r="C203" t="str">
        <f t="shared" ca="1" si="77"/>
        <v>1+1.61452666112525i</v>
      </c>
      <c r="D203" t="str">
        <f t="shared" ca="1" si="78"/>
        <v>1+0.847618903061666i</v>
      </c>
      <c r="E203" t="str">
        <f t="shared" ca="1" si="79"/>
        <v>1+548.491557669153i</v>
      </c>
      <c r="F203">
        <f t="shared" ca="1" si="80"/>
        <v>69.486139019499433</v>
      </c>
      <c r="G203" t="str">
        <f t="shared" ca="1" si="92"/>
        <v>0.311832942312933+0.0472526975603716i</v>
      </c>
      <c r="H203">
        <f t="shared" ca="1" si="93"/>
        <v>-10.02296524542588</v>
      </c>
      <c r="I203">
        <f t="shared" ca="1" si="94"/>
        <v>8.61659692029178</v>
      </c>
      <c r="K203" t="str">
        <f t="shared" ca="1" si="81"/>
        <v>1+1.61452666112525i</v>
      </c>
      <c r="L203" t="str">
        <f t="shared" ca="1" si="82"/>
        <v>1-0.444147824059922i</v>
      </c>
      <c r="M203" t="str">
        <f t="shared" ca="1" si="83"/>
        <v>1+516.648531560081i</v>
      </c>
      <c r="N203" t="str">
        <f t="shared" si="84"/>
        <v>1+1.30025061104525i</v>
      </c>
      <c r="O203">
        <f t="shared" ca="1" si="85"/>
        <v>30.873410267617786</v>
      </c>
      <c r="P203" t="str">
        <f t="shared" ca="1" si="75"/>
        <v>-0.0234527192722503-0.0719780379111455i</v>
      </c>
      <c r="Q203">
        <f t="shared" ca="1" si="95"/>
        <v>-22.417795959047169</v>
      </c>
      <c r="R203">
        <f t="shared" ca="1" si="76"/>
        <v>-108.04724631233528</v>
      </c>
      <c r="T203" t="str">
        <f t="shared" si="86"/>
        <v>1+20.64i</v>
      </c>
      <c r="U203" t="str">
        <f t="shared" si="87"/>
        <v>1+1.2i</v>
      </c>
      <c r="V203" t="str">
        <f t="shared" si="88"/>
        <v>-0.00363372093023256i</v>
      </c>
      <c r="W203" t="str">
        <f t="shared" si="96"/>
        <v>0.0289506290507053-0.0383744757910789i</v>
      </c>
      <c r="X203">
        <f t="shared" si="97"/>
        <v>-26.362490465526911</v>
      </c>
      <c r="Y203">
        <f t="shared" si="98"/>
        <v>-52.968218209125517</v>
      </c>
      <c r="Z203">
        <f t="shared" si="99"/>
        <v>19098.593171027442</v>
      </c>
      <c r="AA203">
        <f t="shared" ca="1" si="89"/>
        <v>-36.38545571095279</v>
      </c>
      <c r="AB203">
        <f t="shared" ca="1" si="90"/>
        <v>-44.351621288833741</v>
      </c>
    </row>
    <row r="204" spans="1:28" x14ac:dyDescent="0.2">
      <c r="A204">
        <v>130000</v>
      </c>
      <c r="B204" t="str">
        <f t="shared" si="91"/>
        <v>130000i</v>
      </c>
      <c r="C204" t="str">
        <f t="shared" ca="1" si="77"/>
        <v>1+1.74907054955236i</v>
      </c>
      <c r="D204" t="str">
        <f t="shared" ca="1" si="78"/>
        <v>1+0.918253811650138i</v>
      </c>
      <c r="E204" t="str">
        <f t="shared" ca="1" si="79"/>
        <v>1+594.199187474915i</v>
      </c>
      <c r="F204">
        <f t="shared" ca="1" si="80"/>
        <v>69.486139019499433</v>
      </c>
      <c r="G204" t="str">
        <f t="shared" ca="1" si="92"/>
        <v>0.311798928369076+0.0714014801599108i</v>
      </c>
      <c r="H204">
        <f t="shared" ca="1" si="93"/>
        <v>-9.9005329256887755</v>
      </c>
      <c r="I204">
        <f t="shared" ca="1" si="94"/>
        <v>12.898252688062934</v>
      </c>
      <c r="K204" t="str">
        <f t="shared" ca="1" si="81"/>
        <v>1+1.74907054955236i</v>
      </c>
      <c r="L204" t="str">
        <f t="shared" ca="1" si="82"/>
        <v>1-0.481160142731582i</v>
      </c>
      <c r="M204" t="str">
        <f t="shared" ca="1" si="83"/>
        <v>1+559.702575856755i</v>
      </c>
      <c r="N204" t="str">
        <f t="shared" si="84"/>
        <v>1+1.40860482863235i</v>
      </c>
      <c r="O204">
        <f t="shared" ca="1" si="85"/>
        <v>30.873410267617786</v>
      </c>
      <c r="P204" t="str">
        <f t="shared" ca="1" si="75"/>
        <v>-0.0243931796983815-0.0670968005385599i</v>
      </c>
      <c r="Q204">
        <f t="shared" ca="1" si="95"/>
        <v>-22.926846968375173</v>
      </c>
      <c r="R204">
        <f t="shared" ca="1" si="76"/>
        <v>-109.97884001062657</v>
      </c>
      <c r="T204" t="str">
        <f t="shared" si="86"/>
        <v>1+22.36i</v>
      </c>
      <c r="U204" t="str">
        <f t="shared" si="87"/>
        <v>1+1.3i</v>
      </c>
      <c r="V204" t="str">
        <f t="shared" si="88"/>
        <v>-0.00335420393559928i</v>
      </c>
      <c r="W204" t="str">
        <f t="shared" si="96"/>
        <v>0.0262600501426472-0.0374922691210406i</v>
      </c>
      <c r="X204">
        <f t="shared" si="97"/>
        <v>-26.787619789797802</v>
      </c>
      <c r="Y204">
        <f t="shared" si="98"/>
        <v>-54.992124687675918</v>
      </c>
      <c r="Z204">
        <f t="shared" si="99"/>
        <v>20690.142601946394</v>
      </c>
      <c r="AA204">
        <f t="shared" ca="1" si="89"/>
        <v>-36.688152715486581</v>
      </c>
      <c r="AB204">
        <f t="shared" ca="1" si="90"/>
        <v>-42.093871999612986</v>
      </c>
    </row>
    <row r="205" spans="1:28" x14ac:dyDescent="0.2">
      <c r="A205">
        <v>140000</v>
      </c>
      <c r="B205" t="str">
        <f t="shared" si="91"/>
        <v>140000i</v>
      </c>
      <c r="C205" t="str">
        <f t="shared" ca="1" si="77"/>
        <v>1+1.88361443797946i</v>
      </c>
      <c r="D205" t="str">
        <f t="shared" ca="1" si="78"/>
        <v>1+0.98888872023861i</v>
      </c>
      <c r="E205" t="str">
        <f t="shared" ca="1" si="79"/>
        <v>1+639.906817280678i</v>
      </c>
      <c r="F205">
        <f t="shared" ca="1" si="80"/>
        <v>69.486139019499433</v>
      </c>
      <c r="G205" t="str">
        <f t="shared" ca="1" si="92"/>
        <v>0.311771939322067+0.09416437688333i</v>
      </c>
      <c r="H205">
        <f t="shared" ca="1" si="93"/>
        <v>-9.7441286847202182</v>
      </c>
      <c r="I205">
        <f t="shared" ca="1" si="94"/>
        <v>16.805874174483048</v>
      </c>
      <c r="K205" t="str">
        <f t="shared" ca="1" si="81"/>
        <v>1+1.88361443797946i</v>
      </c>
      <c r="L205" t="str">
        <f t="shared" ca="1" si="82"/>
        <v>1-0.518172461403243i</v>
      </c>
      <c r="M205" t="str">
        <f t="shared" ca="1" si="83"/>
        <v>1+602.756620153428i</v>
      </c>
      <c r="N205" t="str">
        <f t="shared" si="84"/>
        <v>1+1.51695904621946i</v>
      </c>
      <c r="O205">
        <f t="shared" ca="1" si="85"/>
        <v>30.873410267617786</v>
      </c>
      <c r="P205" t="str">
        <f t="shared" ca="1" si="75"/>
        <v>-0.025219549802495-0.0628399970681608i</v>
      </c>
      <c r="Q205">
        <f t="shared" ca="1" si="95"/>
        <v>-23.386709918957244</v>
      </c>
      <c r="R205">
        <f t="shared" ca="1" si="76"/>
        <v>-111.86705132725849</v>
      </c>
      <c r="T205" t="str">
        <f t="shared" si="86"/>
        <v>1+24.08i</v>
      </c>
      <c r="U205" t="str">
        <f t="shared" si="87"/>
        <v>1+1.4i</v>
      </c>
      <c r="V205" t="str">
        <f t="shared" si="88"/>
        <v>-0.00311461794019934i</v>
      </c>
      <c r="W205" t="str">
        <f t="shared" si="96"/>
        <v>0.0238647077309868-0.0365252087635809i</v>
      </c>
      <c r="X205">
        <f t="shared" si="97"/>
        <v>-27.204208474385059</v>
      </c>
      <c r="Y205">
        <f t="shared" si="98"/>
        <v>-56.840348629190622</v>
      </c>
      <c r="Z205">
        <f t="shared" si="99"/>
        <v>22281.692032865347</v>
      </c>
      <c r="AA205">
        <f t="shared" ca="1" si="89"/>
        <v>-36.948337159105279</v>
      </c>
      <c r="AB205">
        <f t="shared" ca="1" si="90"/>
        <v>-40.034474454707578</v>
      </c>
    </row>
    <row r="206" spans="1:28" x14ac:dyDescent="0.2">
      <c r="A206">
        <v>150000</v>
      </c>
      <c r="B206" t="str">
        <f t="shared" si="91"/>
        <v>150000i</v>
      </c>
      <c r="C206" t="str">
        <f t="shared" ca="1" si="77"/>
        <v>1+2.01815832640657i</v>
      </c>
      <c r="D206" t="str">
        <f t="shared" ca="1" si="78"/>
        <v>1+1.05952362882708i</v>
      </c>
      <c r="E206" t="str">
        <f t="shared" ca="1" si="79"/>
        <v>1+685.614447086441i</v>
      </c>
      <c r="F206">
        <f t="shared" ca="1" si="80"/>
        <v>69.486139019499433</v>
      </c>
      <c r="G206" t="str">
        <f t="shared" ca="1" si="92"/>
        <v>0.311750165920811+0.11581856226698i</v>
      </c>
      <c r="H206">
        <f t="shared" ca="1" si="93"/>
        <v>-9.5623660613295396</v>
      </c>
      <c r="I206">
        <f t="shared" ca="1" si="94"/>
        <v>20.38057668681969</v>
      </c>
      <c r="K206" t="str">
        <f t="shared" ca="1" si="81"/>
        <v>1+2.01815832640657i</v>
      </c>
      <c r="L206" t="str">
        <f t="shared" ca="1" si="82"/>
        <v>1-0.555184780074903i</v>
      </c>
      <c r="M206" t="str">
        <f t="shared" ca="1" si="83"/>
        <v>1+645.810664450101i</v>
      </c>
      <c r="N206" t="str">
        <f t="shared" si="84"/>
        <v>1+1.62531326380656i</v>
      </c>
      <c r="O206">
        <f t="shared" ca="1" si="85"/>
        <v>30.873410267617786</v>
      </c>
      <c r="P206" t="str">
        <f t="shared" ca="1" si="75"/>
        <v>-0.0259458882329423-0.0590908318483898i</v>
      </c>
      <c r="Q206">
        <f t="shared" ca="1" si="95"/>
        <v>-23.803938027842598</v>
      </c>
      <c r="R206">
        <f t="shared" ca="1" si="76"/>
        <v>-113.70554953739271</v>
      </c>
      <c r="T206" t="str">
        <f t="shared" si="86"/>
        <v>1+25.8i</v>
      </c>
      <c r="U206" t="str">
        <f t="shared" si="87"/>
        <v>1+1.5i</v>
      </c>
      <c r="V206" t="str">
        <f t="shared" si="88"/>
        <v>-0.00290697674418605i</v>
      </c>
      <c r="W206" t="str">
        <f t="shared" si="96"/>
        <v>0.0217352415026834-0.0355098389982111i</v>
      </c>
      <c r="X206">
        <f t="shared" si="97"/>
        <v>-27.61108877304336</v>
      </c>
      <c r="Y206">
        <f t="shared" si="98"/>
        <v>-58.529588027218061</v>
      </c>
      <c r="Z206">
        <f t="shared" si="99"/>
        <v>23873.241463784303</v>
      </c>
      <c r="AA206">
        <f t="shared" ca="1" si="89"/>
        <v>-37.173454834372897</v>
      </c>
      <c r="AB206">
        <f t="shared" ca="1" si="90"/>
        <v>-38.149011340398374</v>
      </c>
    </row>
    <row r="207" spans="1:28" x14ac:dyDescent="0.2">
      <c r="A207">
        <v>160000</v>
      </c>
      <c r="B207" t="str">
        <f t="shared" si="91"/>
        <v>160000i</v>
      </c>
      <c r="C207" t="str">
        <f t="shared" ca="1" si="77"/>
        <v>1+2.15270221483367i</v>
      </c>
      <c r="D207" t="str">
        <f t="shared" ca="1" si="78"/>
        <v>1+1.13015853741555i</v>
      </c>
      <c r="E207" t="str">
        <f t="shared" ca="1" si="79"/>
        <v>1+731.322076892203i</v>
      </c>
      <c r="F207">
        <f t="shared" ca="1" si="80"/>
        <v>69.486139019499433</v>
      </c>
      <c r="G207" t="str">
        <f t="shared" ca="1" si="92"/>
        <v>0.311732345977148+0.136571917961166i</v>
      </c>
      <c r="H207">
        <f t="shared" ca="1" si="93"/>
        <v>-9.3618290191436788</v>
      </c>
      <c r="I207">
        <f t="shared" ca="1" si="94"/>
        <v>23.658530787750617</v>
      </c>
      <c r="K207" t="str">
        <f t="shared" ca="1" si="81"/>
        <v>1+2.15270221483367i</v>
      </c>
      <c r="L207" t="str">
        <f t="shared" ca="1" si="82"/>
        <v>1-0.592197098746563i</v>
      </c>
      <c r="M207" t="str">
        <f t="shared" ca="1" si="83"/>
        <v>1+688.864708746775i</v>
      </c>
      <c r="N207" t="str">
        <f t="shared" si="84"/>
        <v>1+1.73366748139366i</v>
      </c>
      <c r="O207">
        <f t="shared" ca="1" si="85"/>
        <v>30.873410267617786</v>
      </c>
      <c r="P207" t="str">
        <f t="shared" ca="1" si="75"/>
        <v>-0.0265850881548551-0.05576119424577i</v>
      </c>
      <c r="Q207">
        <f t="shared" ca="1" si="95"/>
        <v>-24.18382791576947</v>
      </c>
      <c r="R207">
        <f t="shared" ca="1" si="76"/>
        <v>-115.49025796193861</v>
      </c>
      <c r="T207" t="str">
        <f t="shared" si="86"/>
        <v>1+27.52i</v>
      </c>
      <c r="U207" t="str">
        <f t="shared" si="87"/>
        <v>1+1.6i</v>
      </c>
      <c r="V207" t="str">
        <f t="shared" si="88"/>
        <v>-0.00272529069767442i</v>
      </c>
      <c r="W207" t="str">
        <f t="shared" si="96"/>
        <v>0.0198425659785733-0.0344733962633917i</v>
      </c>
      <c r="X207">
        <f t="shared" si="97"/>
        <v>-28.007544101408595</v>
      </c>
      <c r="Y207">
        <f t="shared" si="98"/>
        <v>-60.075669910668253</v>
      </c>
      <c r="Z207">
        <f t="shared" si="99"/>
        <v>25464.790894703256</v>
      </c>
      <c r="AA207">
        <f t="shared" ca="1" si="89"/>
        <v>-37.369373120552275</v>
      </c>
      <c r="AB207">
        <f t="shared" ca="1" si="90"/>
        <v>-36.417139122917632</v>
      </c>
    </row>
    <row r="208" spans="1:28" x14ac:dyDescent="0.2">
      <c r="A208">
        <v>170000</v>
      </c>
      <c r="B208" t="str">
        <f t="shared" si="91"/>
        <v>170000i</v>
      </c>
      <c r="C208" t="str">
        <f t="shared" ca="1" si="77"/>
        <v>1+2.28724610326078i</v>
      </c>
      <c r="D208" t="str">
        <f t="shared" ca="1" si="78"/>
        <v>1+1.20079344600403i</v>
      </c>
      <c r="E208" t="str">
        <f t="shared" ca="1" si="79"/>
        <v>1+777.029706697966i</v>
      </c>
      <c r="F208">
        <f t="shared" ca="1" si="80"/>
        <v>69.486139019499433</v>
      </c>
      <c r="G208" t="str">
        <f t="shared" ca="1" si="92"/>
        <v>0.311717577236885+0.156583412749934i</v>
      </c>
      <c r="H208">
        <f t="shared" ca="1" si="93"/>
        <v>-9.1475862399505523</v>
      </c>
      <c r="I208">
        <f t="shared" ca="1" si="94"/>
        <v>26.671504685849861</v>
      </c>
      <c r="K208" t="str">
        <f t="shared" ca="1" si="81"/>
        <v>1+2.28724610326078i</v>
      </c>
      <c r="L208" t="str">
        <f t="shared" ca="1" si="82"/>
        <v>1-0.629209417418223i</v>
      </c>
      <c r="M208" t="str">
        <f t="shared" ca="1" si="83"/>
        <v>1+731.918753043448i</v>
      </c>
      <c r="N208" t="str">
        <f t="shared" si="84"/>
        <v>1+1.84202169898077i</v>
      </c>
      <c r="O208">
        <f t="shared" ca="1" si="85"/>
        <v>30.873410267617786</v>
      </c>
      <c r="P208" t="str">
        <f t="shared" ca="1" si="75"/>
        <v>-0.027148661177445-0.0527830535874383i</v>
      </c>
      <c r="Q208">
        <f t="shared" ca="1" si="95"/>
        <v>-24.530749618215975</v>
      </c>
      <c r="R208">
        <f t="shared" ca="1" si="76"/>
        <v>-117.21876474442107</v>
      </c>
      <c r="T208" t="str">
        <f t="shared" si="86"/>
        <v>1+29.24i</v>
      </c>
      <c r="U208" t="str">
        <f t="shared" si="87"/>
        <v>1+1.7i</v>
      </c>
      <c r="V208" t="str">
        <f t="shared" si="88"/>
        <v>-0.00256497948016416i</v>
      </c>
      <c r="W208" t="str">
        <f t="shared" si="96"/>
        <v>0.0181592634662522-0.0334357273727928i</v>
      </c>
      <c r="X208">
        <f t="shared" si="97"/>
        <v>-28.393194113009145</v>
      </c>
      <c r="Y208">
        <f t="shared" si="98"/>
        <v>-61.493191641934636</v>
      </c>
      <c r="Z208">
        <f t="shared" si="99"/>
        <v>27056.340325622208</v>
      </c>
      <c r="AA208">
        <f t="shared" ca="1" si="89"/>
        <v>-37.5407803529597</v>
      </c>
      <c r="AB208">
        <f t="shared" ca="1" si="90"/>
        <v>-34.821686956084775</v>
      </c>
    </row>
    <row r="209" spans="1:28" x14ac:dyDescent="0.2">
      <c r="A209">
        <v>180000</v>
      </c>
      <c r="B209" t="str">
        <f t="shared" si="91"/>
        <v>180000i</v>
      </c>
      <c r="C209" t="str">
        <f t="shared" ca="1" si="77"/>
        <v>1+2.42178999168788i</v>
      </c>
      <c r="D209" t="str">
        <f t="shared" ca="1" si="78"/>
        <v>1+1.2714283545925i</v>
      </c>
      <c r="E209" t="str">
        <f t="shared" ca="1" si="79"/>
        <v>1+822.737336503729i</v>
      </c>
      <c r="F209">
        <f t="shared" ca="1" si="80"/>
        <v>69.486139019499433</v>
      </c>
      <c r="G209" t="str">
        <f t="shared" ca="1" si="92"/>
        <v>0.311705200884031+0.175976689316752i</v>
      </c>
      <c r="H209">
        <f t="shared" ca="1" si="93"/>
        <v>-8.9235619881410138</v>
      </c>
      <c r="I209">
        <f t="shared" ca="1" si="94"/>
        <v>29.447390770098028</v>
      </c>
      <c r="K209" t="str">
        <f t="shared" ca="1" si="81"/>
        <v>1+2.42178999168788i</v>
      </c>
      <c r="L209" t="str">
        <f t="shared" ca="1" si="82"/>
        <v>1-0.666221736089883i</v>
      </c>
      <c r="M209" t="str">
        <f t="shared" ca="1" si="83"/>
        <v>1+774.972797340122i</v>
      </c>
      <c r="N209" t="str">
        <f t="shared" si="84"/>
        <v>1+1.95037591656787i</v>
      </c>
      <c r="O209">
        <f t="shared" ca="1" si="85"/>
        <v>30.873410267617786</v>
      </c>
      <c r="P209" t="str">
        <f t="shared" ca="1" si="75"/>
        <v>-0.0276467102296171-0.0501028375097504i</v>
      </c>
      <c r="Q209">
        <f t="shared" ca="1" si="95"/>
        <v>-24.848371121871828</v>
      </c>
      <c r="R209">
        <f t="shared" ca="1" si="76"/>
        <v>-118.88988277512394</v>
      </c>
      <c r="T209" t="str">
        <f t="shared" si="86"/>
        <v>1+30.96i</v>
      </c>
      <c r="U209" t="str">
        <f t="shared" si="87"/>
        <v>1+1.8i</v>
      </c>
      <c r="V209" t="str">
        <f t="shared" si="88"/>
        <v>-0.00242248062015504i</v>
      </c>
      <c r="W209" t="str">
        <f t="shared" si="96"/>
        <v>0.0166602676612549-0.0324109624104139i</v>
      </c>
      <c r="X209">
        <f t="shared" si="97"/>
        <v>-28.767904781517132</v>
      </c>
      <c r="Y209">
        <f t="shared" si="98"/>
        <v>-62.795391602592566</v>
      </c>
      <c r="Z209">
        <f t="shared" si="99"/>
        <v>28647.889756541161</v>
      </c>
      <c r="AA209">
        <f t="shared" ca="1" si="89"/>
        <v>-37.691466769658149</v>
      </c>
      <c r="AB209">
        <f t="shared" ca="1" si="90"/>
        <v>-33.348000832494535</v>
      </c>
    </row>
    <row r="210" spans="1:28" x14ac:dyDescent="0.2">
      <c r="A210">
        <v>190000</v>
      </c>
      <c r="B210" t="str">
        <f t="shared" si="91"/>
        <v>190000i</v>
      </c>
      <c r="C210" t="str">
        <f t="shared" ca="1" si="77"/>
        <v>1+2.55633388011499i</v>
      </c>
      <c r="D210" t="str">
        <f t="shared" ca="1" si="78"/>
        <v>1+1.34206326318097i</v>
      </c>
      <c r="E210" t="str">
        <f t="shared" ca="1" si="79"/>
        <v>1+868.444966309492i</v>
      </c>
      <c r="F210">
        <f t="shared" ca="1" si="80"/>
        <v>69.486139019499433</v>
      </c>
      <c r="G210" t="str">
        <f t="shared" ca="1" si="92"/>
        <v>0.311694726773643+0.194849360500699i</v>
      </c>
      <c r="H210">
        <f t="shared" ca="1" si="93"/>
        <v>-8.6928076203539533</v>
      </c>
      <c r="I210">
        <f t="shared" ca="1" si="94"/>
        <v>32.010690968762525</v>
      </c>
      <c r="K210" t="str">
        <f t="shared" ca="1" si="81"/>
        <v>1+2.55633388011499i</v>
      </c>
      <c r="L210" t="str">
        <f t="shared" ca="1" si="82"/>
        <v>1-0.703234054761544i</v>
      </c>
      <c r="M210" t="str">
        <f t="shared" ca="1" si="83"/>
        <v>1+818.026841636795i</v>
      </c>
      <c r="N210" t="str">
        <f t="shared" si="84"/>
        <v>1+2.05873013415498i</v>
      </c>
      <c r="O210">
        <f t="shared" ca="1" si="85"/>
        <v>30.873410267617786</v>
      </c>
      <c r="P210" t="str">
        <f t="shared" ref="P210:P273" ca="1" si="100">IMDIV(IMPRODUCT(O210,K210,L210,),IMPRODUCT(M210,N210,))</f>
        <v>-0.0280880048171457-0.0476776454683295i</v>
      </c>
      <c r="Q210">
        <f t="shared" ca="1" si="95"/>
        <v>-25.139814967999339</v>
      </c>
      <c r="R210">
        <f t="shared" ref="R210:R273" ca="1" si="101">IMARGUMENT(P210)*180/PI()</f>
        <v>-120.50332354789856</v>
      </c>
      <c r="T210" t="str">
        <f t="shared" si="86"/>
        <v>1+32.68i</v>
      </c>
      <c r="U210" t="str">
        <f t="shared" si="87"/>
        <v>1+1.9i</v>
      </c>
      <c r="V210" t="str">
        <f t="shared" si="88"/>
        <v>-0.00229498164014688i</v>
      </c>
      <c r="W210" t="str">
        <f t="shared" si="96"/>
        <v>0.0153231095192453-0.031408889726713i</v>
      </c>
      <c r="X210">
        <f t="shared" si="97"/>
        <v>-29.131719393949361</v>
      </c>
      <c r="Y210">
        <f t="shared" si="98"/>
        <v>-63.994149321844432</v>
      </c>
      <c r="Z210">
        <f t="shared" si="99"/>
        <v>30239.439187460113</v>
      </c>
      <c r="AA210">
        <f t="shared" ca="1" si="89"/>
        <v>-37.824527014303314</v>
      </c>
      <c r="AB210">
        <f t="shared" ca="1" si="90"/>
        <v>-31.983458353081907</v>
      </c>
    </row>
    <row r="211" spans="1:28" x14ac:dyDescent="0.2">
      <c r="A211">
        <v>200000</v>
      </c>
      <c r="B211" t="str">
        <f t="shared" si="91"/>
        <v>200000i</v>
      </c>
      <c r="C211" t="str">
        <f t="shared" ca="1" si="77"/>
        <v>1+2.69087776854209i</v>
      </c>
      <c r="D211" t="str">
        <f t="shared" ca="1" si="78"/>
        <v>1+1.41269817176944i</v>
      </c>
      <c r="E211" t="str">
        <f t="shared" ca="1" si="79"/>
        <v>1+914.152596115254i</v>
      </c>
      <c r="F211">
        <f t="shared" ca="1" si="80"/>
        <v>69.486139019499433</v>
      </c>
      <c r="G211" t="str">
        <f t="shared" ca="1" si="92"/>
        <v>0.311685784145532+0.213279516703624i</v>
      </c>
      <c r="H211">
        <f t="shared" ca="1" si="93"/>
        <v>-8.4577029983763055</v>
      </c>
      <c r="I211">
        <f t="shared" ca="1" si="94"/>
        <v>34.382951789108191</v>
      </c>
      <c r="K211" t="str">
        <f t="shared" ca="1" si="81"/>
        <v>1+2.69087776854209i</v>
      </c>
      <c r="L211" t="str">
        <f t="shared" ca="1" si="82"/>
        <v>1-0.740246373433204i</v>
      </c>
      <c r="M211" t="str">
        <f t="shared" ca="1" si="83"/>
        <v>1+861.080885933469i</v>
      </c>
      <c r="N211" t="str">
        <f t="shared" si="84"/>
        <v>1+2.16708435174208i</v>
      </c>
      <c r="O211">
        <f t="shared" ca="1" si="85"/>
        <v>30.873410267617786</v>
      </c>
      <c r="P211" t="str">
        <f t="shared" ca="1" si="100"/>
        <v>-0.028480104836111-0.04547262650255i</v>
      </c>
      <c r="Q211">
        <f t="shared" ca="1" si="95"/>
        <v>-25.407770208190165</v>
      </c>
      <c r="R211">
        <f t="shared" ca="1" si="101"/>
        <v>-122.05945578413903</v>
      </c>
      <c r="T211" t="str">
        <f t="shared" si="86"/>
        <v>1+34.4i</v>
      </c>
      <c r="U211" t="str">
        <f t="shared" si="87"/>
        <v>1+2i</v>
      </c>
      <c r="V211" t="str">
        <f t="shared" si="88"/>
        <v>-0.00218023255813954i</v>
      </c>
      <c r="W211" t="str">
        <f t="shared" si="96"/>
        <v>0.0141279069767442-0.030436046511628i</v>
      </c>
      <c r="X211">
        <f t="shared" si="97"/>
        <v>-29.484806313818474</v>
      </c>
      <c r="Y211">
        <f t="shared" si="98"/>
        <v>-65.100054881025741</v>
      </c>
      <c r="Z211">
        <f t="shared" si="99"/>
        <v>31830.98861837907</v>
      </c>
      <c r="AA211">
        <f t="shared" ca="1" si="89"/>
        <v>-37.94250931219478</v>
      </c>
      <c r="AB211">
        <f t="shared" ca="1" si="90"/>
        <v>-30.717103091917551</v>
      </c>
    </row>
    <row r="212" spans="1:28" x14ac:dyDescent="0.2">
      <c r="A212">
        <v>210000</v>
      </c>
      <c r="B212" t="str">
        <f t="shared" si="91"/>
        <v>210000i</v>
      </c>
      <c r="C212" t="str">
        <f t="shared" ca="1" si="77"/>
        <v>1+2.82542165696919i</v>
      </c>
      <c r="D212" t="str">
        <f t="shared" ca="1" si="78"/>
        <v>1+1.48333308035792i</v>
      </c>
      <c r="E212" t="str">
        <f t="shared" ca="1" si="79"/>
        <v>1+959.860225921017i</v>
      </c>
      <c r="F212">
        <f t="shared" ca="1" si="80"/>
        <v>69.486139019499433</v>
      </c>
      <c r="G212" t="str">
        <f t="shared" ca="1" si="92"/>
        <v>0.311678088356794+0.231330374054843i</v>
      </c>
      <c r="H212">
        <f t="shared" ca="1" si="93"/>
        <v>-8.2201076346188646</v>
      </c>
      <c r="I212">
        <f t="shared" ca="1" si="94"/>
        <v>36.583148009299734</v>
      </c>
      <c r="K212" t="str">
        <f t="shared" ca="1" si="81"/>
        <v>1+2.82542165696919i</v>
      </c>
      <c r="L212" t="str">
        <f t="shared" ca="1" si="82"/>
        <v>1-0.777258692104864i</v>
      </c>
      <c r="M212" t="str">
        <f t="shared" ca="1" si="83"/>
        <v>1+904.134930230142i</v>
      </c>
      <c r="N212" t="str">
        <f t="shared" si="84"/>
        <v>1+2.27543856932918i</v>
      </c>
      <c r="O212">
        <f t="shared" ca="1" si="85"/>
        <v>30.873410267617786</v>
      </c>
      <c r="P212" t="str">
        <f t="shared" ca="1" si="100"/>
        <v>-0.0288295012212635-0.0434591171418892i</v>
      </c>
      <c r="Q212">
        <f t="shared" ca="1" si="95"/>
        <v>-25.654574412885971</v>
      </c>
      <c r="R212">
        <f t="shared" ca="1" si="101"/>
        <v>-123.55912631444757</v>
      </c>
      <c r="T212" t="str">
        <f t="shared" si="86"/>
        <v>1+36.12i</v>
      </c>
      <c r="U212" t="str">
        <f t="shared" si="87"/>
        <v>1+2.1i</v>
      </c>
      <c r="V212" t="str">
        <f t="shared" si="88"/>
        <v>-0.00207641196013289i</v>
      </c>
      <c r="W212" t="str">
        <f t="shared" si="96"/>
        <v>0.013057215320466-0.0294965641331114i</v>
      </c>
      <c r="X212">
        <f t="shared" si="97"/>
        <v>-29.827419849698884</v>
      </c>
      <c r="Y212">
        <f t="shared" si="98"/>
        <v>-66.122511732912741</v>
      </c>
      <c r="Z212">
        <f t="shared" si="99"/>
        <v>33422.538049298018</v>
      </c>
      <c r="AA212">
        <f t="shared" ca="1" si="89"/>
        <v>-38.047527484317747</v>
      </c>
      <c r="AB212">
        <f t="shared" ca="1" si="90"/>
        <v>-29.539363723613008</v>
      </c>
    </row>
    <row r="213" spans="1:28" x14ac:dyDescent="0.2">
      <c r="A213">
        <v>220000</v>
      </c>
      <c r="B213" t="str">
        <f t="shared" si="91"/>
        <v>220000i</v>
      </c>
      <c r="C213" t="str">
        <f t="shared" ca="1" si="77"/>
        <v>1+2.9599655453963i</v>
      </c>
      <c r="D213" t="str">
        <f t="shared" ca="1" si="78"/>
        <v>1+1.55396798894639i</v>
      </c>
      <c r="E213" t="str">
        <f t="shared" ca="1" si="79"/>
        <v>1+1005.56785572678i</v>
      </c>
      <c r="F213">
        <f t="shared" ca="1" si="80"/>
        <v>69.486139019499433</v>
      </c>
      <c r="G213" t="str">
        <f t="shared" ca="1" si="92"/>
        <v>0.311671417947917+0.249053654904809i</v>
      </c>
      <c r="H213">
        <f t="shared" ca="1" si="93"/>
        <v>-7.9814752648823575</v>
      </c>
      <c r="I213">
        <f t="shared" ca="1" si="94"/>
        <v>38.628017847621209</v>
      </c>
      <c r="K213" t="str">
        <f t="shared" ca="1" si="81"/>
        <v>1+2.9599655453963i</v>
      </c>
      <c r="L213" t="str">
        <f t="shared" ca="1" si="82"/>
        <v>1-0.814271010776524i</v>
      </c>
      <c r="M213" t="str">
        <f t="shared" ca="1" si="83"/>
        <v>1+947.188974526815i</v>
      </c>
      <c r="N213" t="str">
        <f t="shared" si="84"/>
        <v>1+2.38379278691629i</v>
      </c>
      <c r="O213">
        <f t="shared" ca="1" si="85"/>
        <v>30.873410267617786</v>
      </c>
      <c r="P213" t="str">
        <f t="shared" ca="1" si="100"/>
        <v>-0.0291417558181163-0.0416132890059768i</v>
      </c>
      <c r="Q213">
        <f t="shared" ca="1" si="95"/>
        <v>-25.88227517586958</v>
      </c>
      <c r="R213">
        <f t="shared" ca="1" si="101"/>
        <v>-125.00352648472405</v>
      </c>
      <c r="T213" t="str">
        <f t="shared" si="86"/>
        <v>1+37.84i</v>
      </c>
      <c r="U213" t="str">
        <f t="shared" si="87"/>
        <v>1+2.2i</v>
      </c>
      <c r="V213" t="str">
        <f t="shared" si="88"/>
        <v>-0.00198202959830867i</v>
      </c>
      <c r="W213" t="str">
        <f t="shared" si="96"/>
        <v>0.0120958107677604-0.0285928132873817i</v>
      </c>
      <c r="X213">
        <f t="shared" si="97"/>
        <v>-30.159871194565788</v>
      </c>
      <c r="Y213">
        <f t="shared" si="98"/>
        <v>-67.069851954287927</v>
      </c>
      <c r="Z213">
        <f t="shared" si="99"/>
        <v>35014.087480216978</v>
      </c>
      <c r="AA213">
        <f t="shared" ca="1" si="89"/>
        <v>-38.141346459448144</v>
      </c>
      <c r="AB213">
        <f t="shared" ca="1" si="90"/>
        <v>-28.441834106666718</v>
      </c>
    </row>
    <row r="214" spans="1:28" x14ac:dyDescent="0.2">
      <c r="A214">
        <v>230000</v>
      </c>
      <c r="B214" t="str">
        <f t="shared" si="91"/>
        <v>230000i</v>
      </c>
      <c r="C214" t="str">
        <f t="shared" ca="1" si="77"/>
        <v>1+3.0945094338234i</v>
      </c>
      <c r="D214" t="str">
        <f t="shared" ca="1" si="78"/>
        <v>1+1.62460289753486i</v>
      </c>
      <c r="E214" t="str">
        <f t="shared" ca="1" si="79"/>
        <v>1+1051.27548553254i</v>
      </c>
      <c r="F214">
        <f t="shared" ca="1" si="80"/>
        <v>69.486139019499433</v>
      </c>
      <c r="G214" t="str">
        <f t="shared" ca="1" si="92"/>
        <v>0.311665598530496+0.266492086457366i</v>
      </c>
      <c r="H214">
        <f t="shared" ca="1" si="93"/>
        <v>-7.7429414694881151</v>
      </c>
      <c r="I214">
        <f t="shared" ca="1" si="94"/>
        <v>40.532354062867057</v>
      </c>
      <c r="K214" t="str">
        <f t="shared" ca="1" si="81"/>
        <v>1+3.0945094338234i</v>
      </c>
      <c r="L214" t="str">
        <f t="shared" ca="1" si="82"/>
        <v>1-0.851283329448184i</v>
      </c>
      <c r="M214" t="str">
        <f t="shared" ca="1" si="83"/>
        <v>1+990.243018823489i</v>
      </c>
      <c r="N214" t="str">
        <f t="shared" si="84"/>
        <v>1+2.49214700450339i</v>
      </c>
      <c r="O214">
        <f t="shared" ca="1" si="85"/>
        <v>30.873410267617786</v>
      </c>
      <c r="P214" t="str">
        <f t="shared" ca="1" si="100"/>
        <v>-0.0294216315037931-0.0399151466656157i</v>
      </c>
      <c r="Q214">
        <f t="shared" ca="1" si="95"/>
        <v>-26.092677286476615</v>
      </c>
      <c r="R214">
        <f t="shared" ca="1" si="101"/>
        <v>-126.39409189492154</v>
      </c>
      <c r="T214" t="str">
        <f t="shared" si="86"/>
        <v>1+39.56i</v>
      </c>
      <c r="U214" t="str">
        <f t="shared" si="87"/>
        <v>1+2.3i</v>
      </c>
      <c r="V214" t="str">
        <f t="shared" si="88"/>
        <v>-0.0018958543983822i</v>
      </c>
      <c r="W214" t="str">
        <f t="shared" si="96"/>
        <v>0.0112304506969349-0.0277258910013326i</v>
      </c>
      <c r="X214">
        <f t="shared" si="97"/>
        <v>-30.482507016882899</v>
      </c>
      <c r="Y214">
        <f t="shared" si="98"/>
        <v>-67.949452032992781</v>
      </c>
      <c r="Z214">
        <f t="shared" si="99"/>
        <v>36605.636911135931</v>
      </c>
      <c r="AA214">
        <f t="shared" ca="1" si="89"/>
        <v>-38.225448486371015</v>
      </c>
      <c r="AB214">
        <f t="shared" ca="1" si="90"/>
        <v>-27.417097970125724</v>
      </c>
    </row>
    <row r="215" spans="1:28" x14ac:dyDescent="0.2">
      <c r="A215">
        <v>240000</v>
      </c>
      <c r="B215" t="str">
        <f t="shared" si="91"/>
        <v>240000i</v>
      </c>
      <c r="C215" t="str">
        <f t="shared" ca="1" si="77"/>
        <v>1+3.22905332225051i</v>
      </c>
      <c r="D215" t="str">
        <f t="shared" ca="1" si="78"/>
        <v>1+1.69523780612333i</v>
      </c>
      <c r="E215" t="str">
        <f t="shared" ca="1" si="79"/>
        <v>1+1096.98311533831i</v>
      </c>
      <c r="F215">
        <f t="shared" ca="1" si="80"/>
        <v>69.486139019499433</v>
      </c>
      <c r="G215" t="str">
        <f t="shared" ca="1" si="92"/>
        <v>0.311660491272453+0.283681274748133i</v>
      </c>
      <c r="H215">
        <f t="shared" ca="1" si="93"/>
        <v>-7.5053912070233055</v>
      </c>
      <c r="I215">
        <f t="shared" ca="1" si="94"/>
        <v>42.309255925881061</v>
      </c>
      <c r="K215" t="str">
        <f t="shared" ca="1" si="81"/>
        <v>1+3.22905332225051i</v>
      </c>
      <c r="L215" t="str">
        <f t="shared" ca="1" si="82"/>
        <v>1-0.888295648119845i</v>
      </c>
      <c r="M215" t="str">
        <f t="shared" ca="1" si="83"/>
        <v>1+1033.29706312016i</v>
      </c>
      <c r="N215" t="str">
        <f t="shared" si="84"/>
        <v>1+2.6005012220905i</v>
      </c>
      <c r="O215">
        <f t="shared" ca="1" si="85"/>
        <v>30.873410267617786</v>
      </c>
      <c r="P215" t="str">
        <f t="shared" ca="1" si="100"/>
        <v>-0.0296732086678579-0.0383477716806852i</v>
      </c>
      <c r="Q215">
        <f t="shared" ca="1" si="95"/>
        <v>-26.28737967324582</v>
      </c>
      <c r="R215">
        <f t="shared" ca="1" si="101"/>
        <v>-127.73242667234395</v>
      </c>
      <c r="T215" t="str">
        <f t="shared" si="86"/>
        <v>1+41.28i</v>
      </c>
      <c r="U215" t="str">
        <f t="shared" si="87"/>
        <v>1+2.4i</v>
      </c>
      <c r="V215" t="str">
        <f t="shared" si="88"/>
        <v>-0.00181686046511628i</v>
      </c>
      <c r="W215" t="str">
        <f t="shared" si="96"/>
        <v>0.0104496353378285-0.0268959852759048i</v>
      </c>
      <c r="X215">
        <f t="shared" si="97"/>
        <v>-30.795693820003986</v>
      </c>
      <c r="Y215">
        <f t="shared" si="98"/>
        <v>-68.767842794589271</v>
      </c>
      <c r="Z215">
        <f t="shared" si="99"/>
        <v>38197.186342054883</v>
      </c>
      <c r="AA215">
        <f t="shared" ca="1" si="89"/>
        <v>-38.301085027027291</v>
      </c>
      <c r="AB215">
        <f t="shared" ca="1" si="90"/>
        <v>-26.45858686870821</v>
      </c>
    </row>
    <row r="216" spans="1:28" x14ac:dyDescent="0.2">
      <c r="A216">
        <v>250000</v>
      </c>
      <c r="B216" t="str">
        <f t="shared" si="91"/>
        <v>250000i</v>
      </c>
      <c r="C216" t="str">
        <f t="shared" ca="1" si="77"/>
        <v>1+3.36359721067761i</v>
      </c>
      <c r="D216" t="str">
        <f t="shared" ca="1" si="78"/>
        <v>1+1.7658727147118i</v>
      </c>
      <c r="E216" t="str">
        <f t="shared" ca="1" si="79"/>
        <v>1+1142.69074514407i</v>
      </c>
      <c r="F216">
        <f t="shared" ca="1" si="80"/>
        <v>69.486139019499433</v>
      </c>
      <c r="G216" t="str">
        <f t="shared" ca="1" si="92"/>
        <v>0.311655984540401+0.300651128870834i</v>
      </c>
      <c r="H216">
        <f t="shared" ca="1" si="93"/>
        <v>-7.2695112262581727</v>
      </c>
      <c r="I216">
        <f t="shared" ca="1" si="94"/>
        <v>43.970346919384312</v>
      </c>
      <c r="K216" t="str">
        <f t="shared" ca="1" si="81"/>
        <v>1+3.36359721067761i</v>
      </c>
      <c r="L216" t="str">
        <f t="shared" ca="1" si="82"/>
        <v>1-0.925307966791505i</v>
      </c>
      <c r="M216" t="str">
        <f t="shared" ca="1" si="83"/>
        <v>1+1076.35110741684i</v>
      </c>
      <c r="N216" t="str">
        <f t="shared" si="84"/>
        <v>1+2.7088554396776i</v>
      </c>
      <c r="O216">
        <f t="shared" ca="1" si="85"/>
        <v>30.873410267617786</v>
      </c>
      <c r="P216" t="str">
        <f t="shared" ca="1" si="100"/>
        <v>-0.0298999870325039-0.0368967432417682i</v>
      </c>
      <c r="Q216">
        <f t="shared" ca="1" si="95"/>
        <v>-26.467804895077535</v>
      </c>
      <c r="R216">
        <f t="shared" ca="1" si="101"/>
        <v>-129.02024594663362</v>
      </c>
      <c r="T216" t="str">
        <f t="shared" si="86"/>
        <v>1+43i</v>
      </c>
      <c r="U216" t="str">
        <f t="shared" si="87"/>
        <v>1+2.5i</v>
      </c>
      <c r="V216" t="str">
        <f t="shared" si="88"/>
        <v>-0.00174418604651163i</v>
      </c>
      <c r="W216" t="str">
        <f t="shared" si="96"/>
        <v>0.00974338412189256-0.026102646351243i</v>
      </c>
      <c r="X216">
        <f t="shared" si="97"/>
        <v>-31.099806625437516</v>
      </c>
      <c r="Y216">
        <f t="shared" si="98"/>
        <v>-69.530810367517816</v>
      </c>
      <c r="Z216">
        <f t="shared" si="99"/>
        <v>39788.735772973836</v>
      </c>
      <c r="AA216">
        <f t="shared" ca="1" si="89"/>
        <v>-38.369317851695691</v>
      </c>
      <c r="AB216">
        <f t="shared" ca="1" si="90"/>
        <v>-25.560463448133504</v>
      </c>
    </row>
    <row r="217" spans="1:28" x14ac:dyDescent="0.2">
      <c r="A217">
        <v>260000</v>
      </c>
      <c r="B217" t="str">
        <f t="shared" si="91"/>
        <v>260000i</v>
      </c>
      <c r="C217" t="str">
        <f t="shared" ca="1" si="77"/>
        <v>1+3.49814109910472i</v>
      </c>
      <c r="D217" t="str">
        <f t="shared" ca="1" si="78"/>
        <v>1+1.83650762330028i</v>
      </c>
      <c r="E217" t="str">
        <f t="shared" ca="1" si="79"/>
        <v>1+1188.39837494983i</v>
      </c>
      <c r="F217">
        <f t="shared" ca="1" si="80"/>
        <v>69.486139019499433</v>
      </c>
      <c r="G217" t="str">
        <f t="shared" ca="1" si="92"/>
        <v>0.311651987747229+0.317426956537867i</v>
      </c>
      <c r="H217">
        <f t="shared" ca="1" si="93"/>
        <v>-7.0358309928977105</v>
      </c>
      <c r="I217">
        <f t="shared" ca="1" si="94"/>
        <v>45.525962674796361</v>
      </c>
      <c r="K217" t="str">
        <f t="shared" ca="1" si="81"/>
        <v>1+3.49814109910472i</v>
      </c>
      <c r="L217" t="str">
        <f t="shared" ca="1" si="82"/>
        <v>1-0.962320285463165i</v>
      </c>
      <c r="M217" t="str">
        <f t="shared" ca="1" si="83"/>
        <v>1+1119.40515171351i</v>
      </c>
      <c r="N217" t="str">
        <f t="shared" si="84"/>
        <v>1+2.8172096572647i</v>
      </c>
      <c r="O217">
        <f t="shared" ca="1" si="85"/>
        <v>30.873410267617786</v>
      </c>
      <c r="P217" t="str">
        <f t="shared" ca="1" si="100"/>
        <v>-0.0301049733145417-0.0355496878771167i</v>
      </c>
      <c r="Q217">
        <f t="shared" ca="1" si="95"/>
        <v>-26.635223090603706</v>
      </c>
      <c r="R217">
        <f t="shared" ca="1" si="101"/>
        <v>-130.25933195693844</v>
      </c>
      <c r="T217" t="str">
        <f t="shared" si="86"/>
        <v>1+44.72i</v>
      </c>
      <c r="U217" t="str">
        <f t="shared" si="87"/>
        <v>1+2.6i</v>
      </c>
      <c r="V217" t="str">
        <f t="shared" si="88"/>
        <v>-0.00167710196779964i</v>
      </c>
      <c r="W217" t="str">
        <f t="shared" si="96"/>
        <v>0.00910303284584031-0.0253449873669845i</v>
      </c>
      <c r="X217">
        <f t="shared" si="97"/>
        <v>-31.395220883058013</v>
      </c>
      <c r="Y217">
        <f t="shared" si="98"/>
        <v>-70.243487017958799</v>
      </c>
      <c r="Z217">
        <f t="shared" si="99"/>
        <v>41380.285203892789</v>
      </c>
      <c r="AA217">
        <f t="shared" ca="1" si="89"/>
        <v>-38.431051875955724</v>
      </c>
      <c r="AB217">
        <f t="shared" ca="1" si="90"/>
        <v>-24.717524343162438</v>
      </c>
    </row>
    <row r="218" spans="1:28" x14ac:dyDescent="0.2">
      <c r="A218">
        <v>270000</v>
      </c>
      <c r="B218" t="str">
        <f t="shared" si="91"/>
        <v>270000i</v>
      </c>
      <c r="C218" t="str">
        <f t="shared" ca="1" si="77"/>
        <v>1+3.63268498753182i</v>
      </c>
      <c r="D218" t="str">
        <f t="shared" ca="1" si="78"/>
        <v>1+1.90714253188875i</v>
      </c>
      <c r="E218" t="str">
        <f t="shared" ca="1" si="79"/>
        <v>1+1234.10600475559i</v>
      </c>
      <c r="F218">
        <f t="shared" ca="1" si="80"/>
        <v>69.486139019499433</v>
      </c>
      <c r="G218" t="str">
        <f t="shared" ca="1" si="92"/>
        <v>0.311648426764192+0.334030316184234i</v>
      </c>
      <c r="H218">
        <f t="shared" ca="1" si="93"/>
        <v>-6.8047548240185654</v>
      </c>
      <c r="I218">
        <f t="shared" ca="1" si="94"/>
        <v>46.985313200302329</v>
      </c>
      <c r="K218" t="str">
        <f t="shared" ca="1" si="81"/>
        <v>1+3.63268498753182i</v>
      </c>
      <c r="L218" t="str">
        <f t="shared" ca="1" si="82"/>
        <v>1-0.999332604134825i</v>
      </c>
      <c r="M218" t="str">
        <f t="shared" ca="1" si="83"/>
        <v>1+1162.45919601018i</v>
      </c>
      <c r="N218" t="str">
        <f t="shared" si="84"/>
        <v>1+2.92556387485181i</v>
      </c>
      <c r="O218">
        <f t="shared" ca="1" si="85"/>
        <v>30.873410267617786</v>
      </c>
      <c r="P218" t="str">
        <f t="shared" ca="1" si="100"/>
        <v>-0.030290755961976-0.034295925075026i</v>
      </c>
      <c r="Q218">
        <f t="shared" ca="1" si="95"/>
        <v>-26.790771723930664</v>
      </c>
      <c r="R218">
        <f t="shared" ca="1" si="101"/>
        <v>-131.4515004737913</v>
      </c>
      <c r="T218" t="str">
        <f t="shared" si="86"/>
        <v>1+46.44i</v>
      </c>
      <c r="U218" t="str">
        <f t="shared" si="87"/>
        <v>1+2.7i</v>
      </c>
      <c r="V218" t="str">
        <f t="shared" si="88"/>
        <v>-0.00161498708010336i</v>
      </c>
      <c r="W218" t="str">
        <f t="shared" si="96"/>
        <v>0.00852105366510506-0.024621831975887i</v>
      </c>
      <c r="X218">
        <f t="shared" si="97"/>
        <v>-31.682306780647231</v>
      </c>
      <c r="Y218">
        <f t="shared" si="98"/>
        <v>-70.910431783538371</v>
      </c>
      <c r="Z218">
        <f t="shared" si="99"/>
        <v>42971.834634811741</v>
      </c>
      <c r="AA218">
        <f t="shared" ca="1" si="89"/>
        <v>-38.487061604665797</v>
      </c>
      <c r="AB218">
        <f t="shared" ca="1" si="90"/>
        <v>-23.925118583236042</v>
      </c>
    </row>
    <row r="219" spans="1:28" x14ac:dyDescent="0.2">
      <c r="A219">
        <v>280000</v>
      </c>
      <c r="B219" t="str">
        <f t="shared" si="91"/>
        <v>280000i</v>
      </c>
      <c r="C219" t="str">
        <f t="shared" ca="1" si="77"/>
        <v>1+3.76722887595893i</v>
      </c>
      <c r="D219" t="str">
        <f t="shared" ca="1" si="78"/>
        <v>1+1.97777744047722i</v>
      </c>
      <c r="E219" t="str">
        <f t="shared" ca="1" si="79"/>
        <v>1+1279.81363456136i</v>
      </c>
      <c r="F219">
        <f t="shared" ca="1" si="80"/>
        <v>69.486139019499433</v>
      </c>
      <c r="G219" t="str">
        <f t="shared" ca="1" si="92"/>
        <v>0.311645240458785+0.350479686478668i</v>
      </c>
      <c r="H219">
        <f t="shared" ca="1" si="93"/>
        <v>-6.5765872438128525</v>
      </c>
      <c r="I219">
        <f t="shared" ca="1" si="94"/>
        <v>48.356622976784926</v>
      </c>
      <c r="K219" t="str">
        <f t="shared" ca="1" si="81"/>
        <v>1+3.76722887595893i</v>
      </c>
      <c r="L219" t="str">
        <f t="shared" ca="1" si="82"/>
        <v>1-1.03634492280649i</v>
      </c>
      <c r="M219" t="str">
        <f t="shared" ca="1" si="83"/>
        <v>1+1205.51324030686i</v>
      </c>
      <c r="N219" t="str">
        <f t="shared" si="84"/>
        <v>1+3.03391809243891i</v>
      </c>
      <c r="O219">
        <f t="shared" ca="1" si="85"/>
        <v>30.873410267617786</v>
      </c>
      <c r="P219" t="str">
        <f t="shared" ca="1" si="100"/>
        <v>-0.0304595684761255-0.0331261852682263i</v>
      </c>
      <c r="Q219">
        <f t="shared" ca="1" si="95"/>
        <v>-26.935472080484605</v>
      </c>
      <c r="R219">
        <f t="shared" ca="1" si="101"/>
        <v>-132.59857510572661</v>
      </c>
      <c r="T219" t="str">
        <f t="shared" si="86"/>
        <v>1+48.16i</v>
      </c>
      <c r="U219" t="str">
        <f t="shared" si="87"/>
        <v>1+2.8i</v>
      </c>
      <c r="V219" t="str">
        <f t="shared" si="88"/>
        <v>-0.00155730897009967i</v>
      </c>
      <c r="W219" t="str">
        <f t="shared" si="96"/>
        <v>0.00799089761128066-0.0239318222816855i</v>
      </c>
      <c r="X219">
        <f t="shared" si="97"/>
        <v>-31.961425330982518</v>
      </c>
      <c r="Y219">
        <f t="shared" si="98"/>
        <v>-71.535701425951089</v>
      </c>
      <c r="Z219">
        <f t="shared" si="99"/>
        <v>44563.384065730694</v>
      </c>
      <c r="AA219">
        <f t="shared" ca="1" si="89"/>
        <v>-38.538012574795374</v>
      </c>
      <c r="AB219">
        <f t="shared" ca="1" si="90"/>
        <v>-23.179078449166163</v>
      </c>
    </row>
    <row r="220" spans="1:28" x14ac:dyDescent="0.2">
      <c r="A220">
        <v>290000</v>
      </c>
      <c r="B220" t="str">
        <f t="shared" si="91"/>
        <v>290000i</v>
      </c>
      <c r="C220" t="str">
        <f t="shared" ca="1" si="77"/>
        <v>1+3.90177276438603i</v>
      </c>
      <c r="D220" t="str">
        <f t="shared" ca="1" si="78"/>
        <v>1+2.04841234906569i</v>
      </c>
      <c r="E220" t="str">
        <f t="shared" ca="1" si="79"/>
        <v>1+1325.52126436712i</v>
      </c>
      <c r="F220">
        <f t="shared" ca="1" si="80"/>
        <v>69.486139019499433</v>
      </c>
      <c r="G220" t="str">
        <f t="shared" ca="1" si="92"/>
        <v>0.311642378053421+0.366790997315825i</v>
      </c>
      <c r="H220">
        <f t="shared" ca="1" si="93"/>
        <v>-6.3515530796018442</v>
      </c>
      <c r="I220">
        <f t="shared" ca="1" si="94"/>
        <v>49.647252038898607</v>
      </c>
      <c r="K220" t="str">
        <f t="shared" ca="1" si="81"/>
        <v>1+3.90177276438603i</v>
      </c>
      <c r="L220" t="str">
        <f t="shared" ca="1" si="82"/>
        <v>1-1.07335724147815i</v>
      </c>
      <c r="M220" t="str">
        <f t="shared" ca="1" si="83"/>
        <v>1+1248.56728460353i</v>
      </c>
      <c r="N220" t="str">
        <f t="shared" si="84"/>
        <v>1+3.14227231002602i</v>
      </c>
      <c r="O220">
        <f t="shared" ca="1" si="85"/>
        <v>30.873410267617786</v>
      </c>
      <c r="P220" t="str">
        <f t="shared" ca="1" si="100"/>
        <v>-0.030613342861648-0.0320323831557213i</v>
      </c>
      <c r="Q220">
        <f t="shared" ca="1" si="95"/>
        <v>-27.070243204775551</v>
      </c>
      <c r="R220">
        <f t="shared" ca="1" si="101"/>
        <v>-133.70236769141599</v>
      </c>
      <c r="T220" t="str">
        <f t="shared" si="86"/>
        <v>1+49.88i</v>
      </c>
      <c r="U220" t="str">
        <f t="shared" si="87"/>
        <v>1+2.9i</v>
      </c>
      <c r="V220" t="str">
        <f t="shared" si="88"/>
        <v>-0.00150360866078589i</v>
      </c>
      <c r="W220" t="str">
        <f t="shared" si="96"/>
        <v>0.00750685811729236-0.0232734972009337i</v>
      </c>
      <c r="X220">
        <f t="shared" si="97"/>
        <v>-32.23292577063922</v>
      </c>
      <c r="Y220">
        <f t="shared" si="98"/>
        <v>-72.122912509438564</v>
      </c>
      <c r="Z220">
        <f t="shared" si="99"/>
        <v>46154.933496649646</v>
      </c>
      <c r="AA220">
        <f t="shared" ca="1" si="89"/>
        <v>-38.584478850241062</v>
      </c>
      <c r="AB220">
        <f t="shared" ca="1" si="90"/>
        <v>-22.475660470539957</v>
      </c>
    </row>
    <row r="221" spans="1:28" x14ac:dyDescent="0.2">
      <c r="A221">
        <v>300000</v>
      </c>
      <c r="B221" t="str">
        <f t="shared" si="91"/>
        <v>300000i</v>
      </c>
      <c r="C221" t="str">
        <f t="shared" ca="1" si="77"/>
        <v>1+4.03631665281313i</v>
      </c>
      <c r="D221" t="str">
        <f t="shared" ca="1" si="78"/>
        <v>1+2.11904725765416i</v>
      </c>
      <c r="E221" t="str">
        <f t="shared" ca="1" si="79"/>
        <v>1+1371.22889417288i</v>
      </c>
      <c r="F221">
        <f t="shared" ca="1" si="80"/>
        <v>69.486139019499433</v>
      </c>
      <c r="G221" t="str">
        <f t="shared" ca="1" si="92"/>
        <v>0.311639797089816+0.382978054610467i</v>
      </c>
      <c r="H221">
        <f t="shared" ca="1" si="93"/>
        <v>-6.1298134529872348</v>
      </c>
      <c r="I221">
        <f t="shared" ca="1" si="94"/>
        <v>50.863800736812848</v>
      </c>
      <c r="K221" t="str">
        <f t="shared" ca="1" si="81"/>
        <v>1+4.03631665281313i</v>
      </c>
      <c r="L221" t="str">
        <f t="shared" ca="1" si="82"/>
        <v>1-1.11036956014981i</v>
      </c>
      <c r="M221" t="str">
        <f t="shared" ca="1" si="83"/>
        <v>1+1291.6213289002i</v>
      </c>
      <c r="N221" t="str">
        <f t="shared" si="84"/>
        <v>1+3.25062652761312i</v>
      </c>
      <c r="O221">
        <f t="shared" ca="1" si="85"/>
        <v>30.873410267617786</v>
      </c>
      <c r="P221" t="str">
        <f t="shared" ca="1" si="100"/>
        <v>-0.0307537546528151-0.031007433862355i</v>
      </c>
      <c r="Q221">
        <f t="shared" ca="1" si="95"/>
        <v>-27.195913790823237</v>
      </c>
      <c r="R221">
        <f t="shared" ca="1" si="101"/>
        <v>-134.76466342910524</v>
      </c>
      <c r="T221" t="str">
        <f t="shared" si="86"/>
        <v>1+51.6i</v>
      </c>
      <c r="U221" t="str">
        <f t="shared" si="87"/>
        <v>1+3i</v>
      </c>
      <c r="V221" t="str">
        <f t="shared" si="88"/>
        <v>-0.00145348837209302i</v>
      </c>
      <c r="W221" t="str">
        <f t="shared" si="96"/>
        <v>0.00706395348837207-0.0226453488372092i</v>
      </c>
      <c r="X221">
        <f t="shared" si="97"/>
        <v>-32.497143922169236</v>
      </c>
      <c r="Y221">
        <f t="shared" si="98"/>
        <v>-72.675295520298491</v>
      </c>
      <c r="Z221">
        <f t="shared" si="99"/>
        <v>47746.482927568606</v>
      </c>
      <c r="AA221">
        <f t="shared" ca="1" si="89"/>
        <v>-38.626957375156472</v>
      </c>
      <c r="AB221">
        <f t="shared" ca="1" si="90"/>
        <v>-21.811494783485642</v>
      </c>
    </row>
    <row r="222" spans="1:28" x14ac:dyDescent="0.2">
      <c r="A222">
        <v>310000</v>
      </c>
      <c r="B222" t="str">
        <f t="shared" si="91"/>
        <v>310000i</v>
      </c>
      <c r="C222" t="str">
        <f t="shared" ca="1" si="77"/>
        <v>1+4.17086054124024i</v>
      </c>
      <c r="D222" t="str">
        <f t="shared" ca="1" si="78"/>
        <v>1+2.18968216624264i</v>
      </c>
      <c r="E222" t="str">
        <f t="shared" ca="1" si="79"/>
        <v>1+1416.93652397864i</v>
      </c>
      <c r="F222">
        <f t="shared" ca="1" si="80"/>
        <v>69.486139019499433</v>
      </c>
      <c r="G222" t="str">
        <f t="shared" ca="1" si="92"/>
        <v>0.311637461845399+0.399052882873757i</v>
      </c>
      <c r="H222">
        <f t="shared" ca="1" si="93"/>
        <v>-5.9114785504431921</v>
      </c>
      <c r="I222">
        <f t="shared" ca="1" si="94"/>
        <v>52.012200497251534</v>
      </c>
      <c r="K222" t="str">
        <f t="shared" ca="1" si="81"/>
        <v>1+4.17086054124024i</v>
      </c>
      <c r="L222" t="str">
        <f t="shared" ca="1" si="82"/>
        <v>1-1.14738187882147i</v>
      </c>
      <c r="M222" t="str">
        <f t="shared" ca="1" si="83"/>
        <v>1+1334.67537319688i</v>
      </c>
      <c r="N222" t="str">
        <f t="shared" si="84"/>
        <v>1+3.35898074520022i</v>
      </c>
      <c r="O222">
        <f t="shared" ca="1" si="85"/>
        <v>30.873410267617786</v>
      </c>
      <c r="P222" t="str">
        <f t="shared" ca="1" si="100"/>
        <v>-0.0308822608146898-0.0300451026267283i</v>
      </c>
      <c r="Q222">
        <f t="shared" ca="1" si="95"/>
        <v>-27.313232408974081</v>
      </c>
      <c r="R222">
        <f t="shared" ca="1" si="101"/>
        <v>-135.78720972042893</v>
      </c>
      <c r="T222" t="str">
        <f t="shared" si="86"/>
        <v>1+53.32i</v>
      </c>
      <c r="U222" t="str">
        <f t="shared" si="87"/>
        <v>1+3.1i</v>
      </c>
      <c r="V222" t="str">
        <f t="shared" si="88"/>
        <v>-0.0014066016504126i</v>
      </c>
      <c r="W222" t="str">
        <f t="shared" si="96"/>
        <v>0.0066578260964864-0.0220458625495205i</v>
      </c>
      <c r="X222">
        <f t="shared" si="97"/>
        <v>-32.754401259538113</v>
      </c>
      <c r="Y222">
        <f t="shared" si="98"/>
        <v>-73.195741949223518</v>
      </c>
      <c r="Z222">
        <f t="shared" si="99"/>
        <v>49338.032358487559</v>
      </c>
      <c r="AA222">
        <f t="shared" ca="1" si="89"/>
        <v>-38.665879809981305</v>
      </c>
      <c r="AB222">
        <f t="shared" ca="1" si="90"/>
        <v>-21.183541451971983</v>
      </c>
    </row>
    <row r="223" spans="1:28" x14ac:dyDescent="0.2">
      <c r="A223">
        <v>320000</v>
      </c>
      <c r="B223" t="str">
        <f t="shared" si="91"/>
        <v>320000i</v>
      </c>
      <c r="C223" t="str">
        <f t="shared" ca="1" si="77"/>
        <v>1+4.30540442966734i</v>
      </c>
      <c r="D223" t="str">
        <f t="shared" ca="1" si="78"/>
        <v>1+2.26031707483111i</v>
      </c>
      <c r="E223" t="str">
        <f t="shared" ca="1" si="79"/>
        <v>1+1462.64415378441i</v>
      </c>
      <c r="F223">
        <f t="shared" ca="1" si="80"/>
        <v>69.486139019499433</v>
      </c>
      <c r="G223" t="str">
        <f t="shared" ca="1" si="92"/>
        <v>0.311635342090544+0.415026003556709i</v>
      </c>
      <c r="H223">
        <f t="shared" ca="1" si="93"/>
        <v>-5.6966178548616622</v>
      </c>
      <c r="I223">
        <f t="shared" ca="1" si="94"/>
        <v>53.097792571351093</v>
      </c>
      <c r="K223" t="str">
        <f t="shared" ca="1" si="81"/>
        <v>1+4.30540442966734i</v>
      </c>
      <c r="L223" t="str">
        <f t="shared" ca="1" si="82"/>
        <v>1-1.18439419749313i</v>
      </c>
      <c r="M223" t="str">
        <f t="shared" ca="1" si="83"/>
        <v>1+1377.72941749355i</v>
      </c>
      <c r="N223" t="str">
        <f t="shared" si="84"/>
        <v>1+3.46733496278733i</v>
      </c>
      <c r="O223">
        <f t="shared" ca="1" si="85"/>
        <v>30.873410267617786</v>
      </c>
      <c r="P223" t="str">
        <f t="shared" ca="1" si="100"/>
        <v>-0.0310001316514382-0.0291398809935866i</v>
      </c>
      <c r="Q223">
        <f t="shared" ca="1" si="95"/>
        <v>-27.422876362406306</v>
      </c>
      <c r="R223">
        <f t="shared" ca="1" si="101"/>
        <v>-136.7717079429259</v>
      </c>
      <c r="T223" t="str">
        <f t="shared" si="86"/>
        <v>1+55.04i</v>
      </c>
      <c r="U223" t="str">
        <f t="shared" si="87"/>
        <v>1+3.2i</v>
      </c>
      <c r="V223" t="str">
        <f t="shared" si="88"/>
        <v>-0.00136264534883721i</v>
      </c>
      <c r="W223" t="str">
        <f t="shared" si="96"/>
        <v>0.00628465612844492-0.021473544959861i</v>
      </c>
      <c r="X223">
        <f t="shared" si="97"/>
        <v>-33.005004482812829</v>
      </c>
      <c r="Y223">
        <f t="shared" si="98"/>
        <v>-73.68684521021946</v>
      </c>
      <c r="Z223">
        <f t="shared" si="99"/>
        <v>50929.581789406511</v>
      </c>
      <c r="AA223">
        <f t="shared" ca="1" si="89"/>
        <v>-38.701622337674493</v>
      </c>
      <c r="AB223">
        <f t="shared" ca="1" si="90"/>
        <v>-20.589052638868367</v>
      </c>
    </row>
    <row r="224" spans="1:28" x14ac:dyDescent="0.2">
      <c r="A224">
        <v>330000</v>
      </c>
      <c r="B224" t="str">
        <f t="shared" si="91"/>
        <v>330000i</v>
      </c>
      <c r="C224" t="str">
        <f t="shared" ca="1" si="77"/>
        <v>1+4.43994831809445i</v>
      </c>
      <c r="D224" t="str">
        <f t="shared" ca="1" si="78"/>
        <v>1+2.33095198341958i</v>
      </c>
      <c r="E224" t="str">
        <f t="shared" ca="1" si="79"/>
        <v>1+1508.35178359017i</v>
      </c>
      <c r="F224">
        <f t="shared" ca="1" si="80"/>
        <v>69.486139019499433</v>
      </c>
      <c r="G224" t="str">
        <f t="shared" ca="1" si="92"/>
        <v>0.311633412105346+0.430906662785948i</v>
      </c>
      <c r="H224">
        <f t="shared" ca="1" si="93"/>
        <v>-5.4852683663815114</v>
      </c>
      <c r="I224">
        <f t="shared" ca="1" si="94"/>
        <v>54.125396469258533</v>
      </c>
      <c r="K224" t="str">
        <f t="shared" ca="1" si="81"/>
        <v>1+4.43994831809445i</v>
      </c>
      <c r="L224" t="str">
        <f t="shared" ca="1" si="82"/>
        <v>1-1.22140651616479i</v>
      </c>
      <c r="M224" t="str">
        <f t="shared" ca="1" si="83"/>
        <v>1+1420.78346179022i</v>
      </c>
      <c r="N224" t="str">
        <f t="shared" si="84"/>
        <v>1+3.57568918037443i</v>
      </c>
      <c r="O224">
        <f t="shared" ca="1" si="85"/>
        <v>30.873410267617786</v>
      </c>
      <c r="P224" t="str">
        <f t="shared" ca="1" si="100"/>
        <v>-0.031108477691286-0.028286884148245i</v>
      </c>
      <c r="Q224">
        <f t="shared" ca="1" si="95"/>
        <v>-27.525459401275004</v>
      </c>
      <c r="R224">
        <f t="shared" ca="1" si="101"/>
        <v>-137.71980754072649</v>
      </c>
      <c r="T224" t="str">
        <f t="shared" si="86"/>
        <v>1+56.76i</v>
      </c>
      <c r="U224" t="str">
        <f t="shared" si="87"/>
        <v>1+3.3i</v>
      </c>
      <c r="V224" t="str">
        <f t="shared" si="88"/>
        <v>-0.00132135306553911i</v>
      </c>
      <c r="W224" t="str">
        <f t="shared" si="96"/>
        <v>0.00594108787920276-0.0209269430669082i</v>
      </c>
      <c r="X224">
        <f t="shared" si="97"/>
        <v>-33.249245457581821</v>
      </c>
      <c r="Y224">
        <f t="shared" si="98"/>
        <v>-74.150936195300645</v>
      </c>
      <c r="Z224">
        <f t="shared" si="99"/>
        <v>52521.131220325464</v>
      </c>
      <c r="AA224">
        <f t="shared" ca="1" si="89"/>
        <v>-38.734513823963333</v>
      </c>
      <c r="AB224">
        <f t="shared" ca="1" si="90"/>
        <v>-20.025539726042112</v>
      </c>
    </row>
    <row r="225" spans="1:28" x14ac:dyDescent="0.2">
      <c r="A225">
        <v>340000</v>
      </c>
      <c r="B225" t="str">
        <f t="shared" si="91"/>
        <v>340000i</v>
      </c>
      <c r="C225" t="str">
        <f t="shared" ca="1" si="77"/>
        <v>1+4.57449220652155i</v>
      </c>
      <c r="D225" t="str">
        <f t="shared" ca="1" si="78"/>
        <v>1+2.40158689200805i</v>
      </c>
      <c r="E225" t="str">
        <f t="shared" ca="1" si="79"/>
        <v>1+1554.05941339593i</v>
      </c>
      <c r="F225">
        <f t="shared" ca="1" si="80"/>
        <v>69.486139019499433</v>
      </c>
      <c r="G225" t="str">
        <f t="shared" ca="1" si="92"/>
        <v>0.311631649895715+0.446703018910879i</v>
      </c>
      <c r="H225">
        <f t="shared" ca="1" si="93"/>
        <v>-5.2774412243143995</v>
      </c>
      <c r="I225">
        <f t="shared" ca="1" si="94"/>
        <v>55.099369533489906</v>
      </c>
      <c r="K225" t="str">
        <f t="shared" ca="1" si="81"/>
        <v>1+4.57449220652155i</v>
      </c>
      <c r="L225" t="str">
        <f t="shared" ca="1" si="82"/>
        <v>1-1.25841883483645i</v>
      </c>
      <c r="M225" t="str">
        <f t="shared" ca="1" si="83"/>
        <v>1+1463.8375060869i</v>
      </c>
      <c r="N225" t="str">
        <f t="shared" si="84"/>
        <v>1+3.68404339796154i</v>
      </c>
      <c r="O225">
        <f t="shared" ca="1" si="85"/>
        <v>30.873410267617786</v>
      </c>
      <c r="P225" t="str">
        <f t="shared" ca="1" si="100"/>
        <v>-0.0312082723686275-0.0274817652548024i</v>
      </c>
      <c r="Q225">
        <f t="shared" ca="1" si="95"/>
        <v>-27.621538474495487</v>
      </c>
      <c r="R225">
        <f t="shared" ca="1" si="101"/>
        <v>-138.63310195401857</v>
      </c>
      <c r="T225" t="str">
        <f t="shared" si="86"/>
        <v>1+58.48i</v>
      </c>
      <c r="U225" t="str">
        <f t="shared" si="87"/>
        <v>1+3.4i</v>
      </c>
      <c r="V225" t="str">
        <f t="shared" si="88"/>
        <v>-0.00128248974008208i</v>
      </c>
      <c r="W225" t="str">
        <f t="shared" si="96"/>
        <v>0.00562416679010517-0.0204046568264397i</v>
      </c>
      <c r="X225">
        <f t="shared" si="97"/>
        <v>-33.487401411628298</v>
      </c>
      <c r="Y225">
        <f t="shared" si="98"/>
        <v>-74.590114179685656</v>
      </c>
      <c r="Z225">
        <f t="shared" si="99"/>
        <v>54112.680651244416</v>
      </c>
      <c r="AA225">
        <f t="shared" ca="1" si="89"/>
        <v>-38.764842635942699</v>
      </c>
      <c r="AB225">
        <f t="shared" ca="1" si="90"/>
        <v>-19.490744646195751</v>
      </c>
    </row>
    <row r="226" spans="1:28" x14ac:dyDescent="0.2">
      <c r="A226">
        <v>350000</v>
      </c>
      <c r="B226" t="str">
        <f t="shared" si="91"/>
        <v>350000i</v>
      </c>
      <c r="C226" t="str">
        <f t="shared" ca="1" si="77"/>
        <v>1+4.70903609494866i</v>
      </c>
      <c r="D226" t="str">
        <f t="shared" ca="1" si="78"/>
        <v>1+2.47222180059652i</v>
      </c>
      <c r="E226" t="str">
        <f t="shared" ca="1" si="79"/>
        <v>1+1599.7670432017i</v>
      </c>
      <c r="F226">
        <f t="shared" ca="1" si="80"/>
        <v>69.486139019499433</v>
      </c>
      <c r="G226" t="str">
        <f t="shared" ca="1" si="92"/>
        <v>0.311630036564001+0.462422297900058i</v>
      </c>
      <c r="H226">
        <f t="shared" ca="1" si="93"/>
        <v>-5.0731270527673589</v>
      </c>
      <c r="I226">
        <f t="shared" ca="1" si="94"/>
        <v>56.023658890513843</v>
      </c>
      <c r="K226" t="str">
        <f t="shared" ca="1" si="81"/>
        <v>1+4.70903609494866i</v>
      </c>
      <c r="L226" t="str">
        <f t="shared" ca="1" si="82"/>
        <v>1-1.29543115350811i</v>
      </c>
      <c r="M226" t="str">
        <f t="shared" ca="1" si="83"/>
        <v>1+1506.89155038357i</v>
      </c>
      <c r="N226" t="str">
        <f t="shared" si="84"/>
        <v>1+3.79239761554864i</v>
      </c>
      <c r="O226">
        <f t="shared" ca="1" si="85"/>
        <v>30.873410267617786</v>
      </c>
      <c r="P226" t="str">
        <f t="shared" ca="1" si="100"/>
        <v>-0.0313003711923031-0.0267206435731321i</v>
      </c>
      <c r="Q226">
        <f t="shared" ca="1" si="95"/>
        <v>-27.711619663438142</v>
      </c>
      <c r="R226">
        <f t="shared" ca="1" si="101"/>
        <v>-139.51312600738112</v>
      </c>
      <c r="T226" t="str">
        <f t="shared" si="86"/>
        <v>1+60.2i</v>
      </c>
      <c r="U226" t="str">
        <f t="shared" si="87"/>
        <v>1+3.5i</v>
      </c>
      <c r="V226" t="str">
        <f t="shared" si="88"/>
        <v>-0.00124584717607973i</v>
      </c>
      <c r="W226" t="str">
        <f t="shared" si="96"/>
        <v>0.00533128565160156-0.0199053469566852i</v>
      </c>
      <c r="X226">
        <f t="shared" si="97"/>
        <v>-33.719735309095327</v>
      </c>
      <c r="Y226">
        <f t="shared" si="98"/>
        <v>-75.006273707255758</v>
      </c>
      <c r="Z226">
        <f t="shared" si="99"/>
        <v>55704.230082163369</v>
      </c>
      <c r="AA226">
        <f t="shared" ca="1" si="89"/>
        <v>-38.792862361862689</v>
      </c>
      <c r="AB226">
        <f t="shared" ca="1" si="90"/>
        <v>-18.982614816741915</v>
      </c>
    </row>
    <row r="227" spans="1:28" x14ac:dyDescent="0.2">
      <c r="A227">
        <v>360000</v>
      </c>
      <c r="B227" t="str">
        <f t="shared" si="91"/>
        <v>360000i</v>
      </c>
      <c r="C227" t="str">
        <f t="shared" ca="1" si="77"/>
        <v>1+4.84357998337576i</v>
      </c>
      <c r="D227" t="str">
        <f t="shared" ca="1" si="78"/>
        <v>1+2.542856709185i</v>
      </c>
      <c r="E227" t="str">
        <f t="shared" ca="1" si="79"/>
        <v>1+1645.47467300746i</v>
      </c>
      <c r="F227">
        <f t="shared" ca="1" si="80"/>
        <v>69.486139019499433</v>
      </c>
      <c r="G227" t="str">
        <f t="shared" ca="1" si="92"/>
        <v>0.31162855580023+0.478070922838223i</v>
      </c>
      <c r="H227">
        <f t="shared" ca="1" si="93"/>
        <v>-4.8723002838651741</v>
      </c>
      <c r="I227">
        <f t="shared" ca="1" si="94"/>
        <v>56.901846838452379</v>
      </c>
      <c r="K227" t="str">
        <f t="shared" ca="1" si="81"/>
        <v>1+4.84357998337576i</v>
      </c>
      <c r="L227" t="str">
        <f t="shared" ca="1" si="82"/>
        <v>1-1.33244347217977i</v>
      </c>
      <c r="M227" t="str">
        <f t="shared" ca="1" si="83"/>
        <v>1+1549.94559468024i</v>
      </c>
      <c r="N227" t="str">
        <f t="shared" si="84"/>
        <v>1+3.90075183313574i</v>
      </c>
      <c r="O227">
        <f t="shared" ca="1" si="85"/>
        <v>30.873410267617786</v>
      </c>
      <c r="P227" t="str">
        <f t="shared" ca="1" si="100"/>
        <v>-0.0313855279757611-0.0260000438186766i</v>
      </c>
      <c r="Q227">
        <f t="shared" ca="1" si="95"/>
        <v>-27.796163414777652</v>
      </c>
      <c r="R227">
        <f t="shared" ca="1" si="101"/>
        <v>-140.36135445361674</v>
      </c>
      <c r="T227" t="str">
        <f t="shared" si="86"/>
        <v>1+61.92i</v>
      </c>
      <c r="U227" t="str">
        <f t="shared" si="87"/>
        <v>1+3.6i</v>
      </c>
      <c r="V227" t="str">
        <f t="shared" si="88"/>
        <v>-0.00121124031007752i</v>
      </c>
      <c r="W227" t="str">
        <f t="shared" si="96"/>
        <v>0.00506013860198574-0.0194277392772262i</v>
      </c>
      <c r="X227">
        <f t="shared" si="97"/>
        <v>-33.946496343127272</v>
      </c>
      <c r="Y227">
        <f t="shared" si="98"/>
        <v>-75.40112800565764</v>
      </c>
      <c r="Z227">
        <f t="shared" si="99"/>
        <v>57295.779513082322</v>
      </c>
      <c r="AA227">
        <f t="shared" ca="1" si="89"/>
        <v>-38.818796626992444</v>
      </c>
      <c r="AB227">
        <f t="shared" ca="1" si="90"/>
        <v>-18.499281167205261</v>
      </c>
    </row>
    <row r="228" spans="1:28" x14ac:dyDescent="0.2">
      <c r="A228">
        <v>370000</v>
      </c>
      <c r="B228" t="str">
        <f t="shared" si="91"/>
        <v>370000i</v>
      </c>
      <c r="C228" t="str">
        <f t="shared" ca="1" si="77"/>
        <v>1+4.97812387180287i</v>
      </c>
      <c r="D228" t="str">
        <f t="shared" ca="1" si="78"/>
        <v>1+2.61349161777347i</v>
      </c>
      <c r="E228" t="str">
        <f t="shared" ca="1" si="79"/>
        <v>1+1691.18230281322i</v>
      </c>
      <c r="F228">
        <f t="shared" ca="1" si="80"/>
        <v>69.486139019499433</v>
      </c>
      <c r="G228" t="str">
        <f t="shared" ca="1" si="92"/>
        <v>0.311627193468254+0.493654622423852i</v>
      </c>
      <c r="H228">
        <f t="shared" ca="1" si="93"/>
        <v>-4.6749226592744533</v>
      </c>
      <c r="I228">
        <f t="shared" ca="1" si="94"/>
        <v>57.737190574054011</v>
      </c>
      <c r="K228" t="str">
        <f t="shared" ca="1" si="81"/>
        <v>1+4.97812387180287i</v>
      </c>
      <c r="L228" t="str">
        <f t="shared" ca="1" si="82"/>
        <v>1-1.36945579085143i</v>
      </c>
      <c r="M228" t="str">
        <f t="shared" ca="1" si="83"/>
        <v>1+1592.99963897692i</v>
      </c>
      <c r="N228" t="str">
        <f t="shared" si="84"/>
        <v>1+4.00910605072285i</v>
      </c>
      <c r="O228">
        <f t="shared" ca="1" si="85"/>
        <v>30.873410267617786</v>
      </c>
      <c r="P228" t="str">
        <f t="shared" ca="1" si="100"/>
        <v>-0.0314644086087084-0.0253168447544398i</v>
      </c>
      <c r="Q228">
        <f t="shared" ca="1" si="95"/>
        <v>-27.875589168963856</v>
      </c>
      <c r="R228">
        <f t="shared" ca="1" si="101"/>
        <v>-141.17920142936796</v>
      </c>
      <c r="T228" t="str">
        <f t="shared" si="86"/>
        <v>1+63.64i</v>
      </c>
      <c r="U228" t="str">
        <f t="shared" si="87"/>
        <v>1+3.7i</v>
      </c>
      <c r="V228" t="str">
        <f t="shared" si="88"/>
        <v>-0.00117850408548083i</v>
      </c>
      <c r="W228" t="str">
        <f t="shared" si="96"/>
        <v>0.00480868174838127-0.0189706265544915i</v>
      </c>
      <c r="X228">
        <f t="shared" si="97"/>
        <v>-34.167920503508739</v>
      </c>
      <c r="Y228">
        <f t="shared" si="98"/>
        <v>-75.776229407077523</v>
      </c>
      <c r="Z228">
        <f t="shared" si="99"/>
        <v>58887.328944001274</v>
      </c>
      <c r="AA228">
        <f t="shared" ca="1" si="89"/>
        <v>-38.84284316278319</v>
      </c>
      <c r="AB228">
        <f t="shared" ca="1" si="90"/>
        <v>-18.039038833023511</v>
      </c>
    </row>
    <row r="229" spans="1:28" x14ac:dyDescent="0.2">
      <c r="A229">
        <v>380000</v>
      </c>
      <c r="B229" t="str">
        <f t="shared" si="91"/>
        <v>380000i</v>
      </c>
      <c r="C229" t="str">
        <f t="shared" ca="1" si="77"/>
        <v>1+5.11266776022997i</v>
      </c>
      <c r="D229" t="str">
        <f t="shared" ca="1" si="78"/>
        <v>1+2.68412652636194i</v>
      </c>
      <c r="E229" t="str">
        <f t="shared" ca="1" si="79"/>
        <v>1+1736.88993261898i</v>
      </c>
      <c r="F229">
        <f t="shared" ca="1" si="80"/>
        <v>69.486139019499433</v>
      </c>
      <c r="G229" t="str">
        <f t="shared" ca="1" si="92"/>
        <v>0.311625937267128+0.509178522335589i</v>
      </c>
      <c r="H229">
        <f t="shared" ca="1" si="93"/>
        <v>-4.4809460693272873</v>
      </c>
      <c r="I229">
        <f t="shared" ca="1" si="94"/>
        <v>58.532657030444796</v>
      </c>
      <c r="K229" t="str">
        <f t="shared" ca="1" si="81"/>
        <v>1+5.11266776022997i</v>
      </c>
      <c r="L229" t="str">
        <f t="shared" ca="1" si="82"/>
        <v>1-1.40646810952309i</v>
      </c>
      <c r="M229" t="str">
        <f t="shared" ca="1" si="83"/>
        <v>1+1636.05368327359i</v>
      </c>
      <c r="N229" t="str">
        <f t="shared" si="84"/>
        <v>1+4.11746026830995i</v>
      </c>
      <c r="O229">
        <f t="shared" ca="1" si="85"/>
        <v>30.873410267617786</v>
      </c>
      <c r="P229" t="str">
        <f t="shared" ca="1" si="100"/>
        <v>-0.0315376027690818-0.0246682354089712i</v>
      </c>
      <c r="Q229">
        <f t="shared" ca="1" si="95"/>
        <v>-27.950279464586522</v>
      </c>
      <c r="R229">
        <f t="shared" ca="1" si="101"/>
        <v>-141.96802062580579</v>
      </c>
      <c r="T229" t="str">
        <f t="shared" si="86"/>
        <v>1+65.36i</v>
      </c>
      <c r="U229" t="str">
        <f t="shared" si="87"/>
        <v>1+3.8i</v>
      </c>
      <c r="V229" t="str">
        <f t="shared" si="88"/>
        <v>-0.00114749082007344i</v>
      </c>
      <c r="W229" t="str">
        <f t="shared" si="96"/>
        <v>0.00457509940956742-0.0185328685764296i</v>
      </c>
      <c r="X229">
        <f t="shared" si="97"/>
        <v>-34.384231187446787</v>
      </c>
      <c r="Y229">
        <f t="shared" si="98"/>
        <v>-76.13298718529721</v>
      </c>
      <c r="Z229">
        <f t="shared" si="99"/>
        <v>60478.878374920227</v>
      </c>
      <c r="AA229">
        <f t="shared" ca="1" si="89"/>
        <v>-38.865177256774075</v>
      </c>
      <c r="AB229">
        <f t="shared" ca="1" si="90"/>
        <v>-17.600330154852415</v>
      </c>
    </row>
    <row r="230" spans="1:28" x14ac:dyDescent="0.2">
      <c r="A230">
        <v>390000</v>
      </c>
      <c r="B230" t="str">
        <f t="shared" si="91"/>
        <v>390000i</v>
      </c>
      <c r="C230" t="str">
        <f t="shared" ca="1" si="77"/>
        <v>1+5.24721164865707i</v>
      </c>
      <c r="D230" t="str">
        <f t="shared" ca="1" si="78"/>
        <v>1+2.75476143495041i</v>
      </c>
      <c r="E230" t="str">
        <f t="shared" ca="1" si="79"/>
        <v>1+1782.59756242475i</v>
      </c>
      <c r="F230">
        <f t="shared" ca="1" si="80"/>
        <v>69.486139019499433</v>
      </c>
      <c r="G230" t="str">
        <f t="shared" ca="1" si="92"/>
        <v>0.311624776452453+0.524647222542317i</v>
      </c>
      <c r="H230">
        <f t="shared" ca="1" si="93"/>
        <v>-4.2903148566662255</v>
      </c>
      <c r="I230">
        <f t="shared" ca="1" si="94"/>
        <v>59.290953485257276</v>
      </c>
      <c r="K230" t="str">
        <f t="shared" ca="1" si="81"/>
        <v>1+5.24721164865707i</v>
      </c>
      <c r="L230" t="str">
        <f t="shared" ca="1" si="82"/>
        <v>1-1.44348042819475i</v>
      </c>
      <c r="M230" t="str">
        <f t="shared" ca="1" si="83"/>
        <v>1+1679.10772757026i</v>
      </c>
      <c r="N230" t="str">
        <f t="shared" si="84"/>
        <v>1+4.22581448589706i</v>
      </c>
      <c r="O230">
        <f t="shared" ca="1" si="85"/>
        <v>30.873410267617786</v>
      </c>
      <c r="P230" t="str">
        <f t="shared" ca="1" si="100"/>
        <v>-0.0316056339068206-0.0240516776282041i</v>
      </c>
      <c r="Q230">
        <f t="shared" ca="1" si="95"/>
        <v>-28.020583586085813</v>
      </c>
      <c r="R230">
        <f t="shared" ca="1" si="101"/>
        <v>-142.72910601514855</v>
      </c>
      <c r="T230" t="str">
        <f t="shared" si="86"/>
        <v>1+67.08i</v>
      </c>
      <c r="U230" t="str">
        <f t="shared" si="87"/>
        <v>1+3.9i</v>
      </c>
      <c r="V230" t="str">
        <f t="shared" si="88"/>
        <v>-0.00111806797853309i</v>
      </c>
      <c r="W230" t="str">
        <f t="shared" si="96"/>
        <v>0.0043577751316299-0.0181133909918897i</v>
      </c>
      <c r="X230">
        <f t="shared" si="97"/>
        <v>-34.595639830351288</v>
      </c>
      <c r="Y230">
        <f t="shared" si="98"/>
        <v>-76.472683162175201</v>
      </c>
      <c r="Z230">
        <f t="shared" si="99"/>
        <v>62070.427805839186</v>
      </c>
      <c r="AA230">
        <f t="shared" ca="1" si="89"/>
        <v>-38.885954687017517</v>
      </c>
      <c r="AB230">
        <f t="shared" ca="1" si="90"/>
        <v>-17.181729676917925</v>
      </c>
    </row>
    <row r="231" spans="1:28" x14ac:dyDescent="0.2">
      <c r="A231">
        <v>400000</v>
      </c>
      <c r="B231" t="str">
        <f t="shared" si="91"/>
        <v>400000i</v>
      </c>
      <c r="C231" t="str">
        <f t="shared" ca="1" si="77"/>
        <v>1+5.38175553708418i</v>
      </c>
      <c r="D231" t="str">
        <f t="shared" ca="1" si="78"/>
        <v>1+2.82539634353889i</v>
      </c>
      <c r="E231" t="str">
        <f t="shared" ca="1" si="79"/>
        <v>1+1828.30519223051i</v>
      </c>
      <c r="F231">
        <f t="shared" ca="1" si="80"/>
        <v>69.486139019499433</v>
      </c>
      <c r="G231" t="str">
        <f t="shared" ca="1" si="92"/>
        <v>0.311623701605871+0.540064863016772i</v>
      </c>
      <c r="H231">
        <f t="shared" ca="1" si="93"/>
        <v>-4.102967685899074</v>
      </c>
      <c r="I231">
        <f t="shared" ca="1" si="94"/>
        <v>60.014554503646139</v>
      </c>
      <c r="K231" t="str">
        <f t="shared" ca="1" si="81"/>
        <v>1+5.38175553708418i</v>
      </c>
      <c r="L231" t="str">
        <f t="shared" ca="1" si="82"/>
        <v>1-1.48049274686641i</v>
      </c>
      <c r="M231" t="str">
        <f t="shared" ca="1" si="83"/>
        <v>1+1722.16177186694i</v>
      </c>
      <c r="N231" t="str">
        <f t="shared" si="84"/>
        <v>1+4.33416870348416i</v>
      </c>
      <c r="O231">
        <f t="shared" ca="1" si="85"/>
        <v>30.873410267617786</v>
      </c>
      <c r="P231" t="str">
        <f t="shared" ca="1" si="100"/>
        <v>-0.0316689677749605-0.0234648739149253i</v>
      </c>
      <c r="Q231">
        <f t="shared" ca="1" si="95"/>
        <v>-28.086820811977006</v>
      </c>
      <c r="R231">
        <f t="shared" ca="1" si="101"/>
        <v>-143.46369300384873</v>
      </c>
      <c r="T231" t="str">
        <f t="shared" si="86"/>
        <v>1+68.8i</v>
      </c>
      <c r="U231" t="str">
        <f t="shared" si="87"/>
        <v>1+4i</v>
      </c>
      <c r="V231" t="str">
        <f t="shared" si="88"/>
        <v>-0.00109011627906977i</v>
      </c>
      <c r="W231" t="str">
        <f t="shared" si="96"/>
        <v>0.00415526675786595-0.0177111833105336i</v>
      </c>
      <c r="X231">
        <f t="shared" si="97"/>
        <v>-34.802346539974984</v>
      </c>
      <c r="Y231">
        <f t="shared" si="98"/>
        <v>-76.796485386743967</v>
      </c>
      <c r="Z231">
        <f t="shared" si="99"/>
        <v>63661.977236758139</v>
      </c>
      <c r="AA231">
        <f t="shared" ca="1" si="89"/>
        <v>-38.905314225874058</v>
      </c>
      <c r="AB231">
        <f t="shared" ca="1" si="90"/>
        <v>-16.781930883097829</v>
      </c>
    </row>
    <row r="232" spans="1:28" x14ac:dyDescent="0.2">
      <c r="A232">
        <v>410000</v>
      </c>
      <c r="B232" t="str">
        <f t="shared" si="91"/>
        <v>410000i</v>
      </c>
      <c r="C232" t="str">
        <f t="shared" ca="1" si="77"/>
        <v>1+5.51629942551128i</v>
      </c>
      <c r="D232" t="str">
        <f t="shared" ca="1" si="78"/>
        <v>1+2.89603125212736i</v>
      </c>
      <c r="E232" t="str">
        <f t="shared" ca="1" si="79"/>
        <v>1+1874.01282203627i</v>
      </c>
      <c r="F232">
        <f t="shared" ca="1" si="80"/>
        <v>69.486139019499433</v>
      </c>
      <c r="G232" t="str">
        <f t="shared" ca="1" si="92"/>
        <v>0.311622704443408+0.555435179832493i</v>
      </c>
      <c r="H232">
        <f t="shared" ca="1" si="93"/>
        <v>-3.9188390606940193</v>
      </c>
      <c r="I232">
        <f t="shared" ca="1" si="94"/>
        <v>60.705725699897272</v>
      </c>
      <c r="K232" t="str">
        <f t="shared" ca="1" si="81"/>
        <v>1+5.51629942551128i</v>
      </c>
      <c r="L232" t="str">
        <f t="shared" ca="1" si="82"/>
        <v>1-1.51750506553807i</v>
      </c>
      <c r="M232" t="str">
        <f t="shared" ca="1" si="83"/>
        <v>1+1765.21581616361i</v>
      </c>
      <c r="N232" t="str">
        <f t="shared" si="84"/>
        <v>1+4.44252292107126i</v>
      </c>
      <c r="O232">
        <f t="shared" ca="1" si="85"/>
        <v>30.873410267617786</v>
      </c>
      <c r="P232" t="str">
        <f t="shared" ca="1" si="100"/>
        <v>-0.0317280197372135-0.0229057397036443i</v>
      </c>
      <c r="Q232">
        <f t="shared" ca="1" si="95"/>
        <v>-28.149283312404862</v>
      </c>
      <c r="R232">
        <f t="shared" ca="1" si="101"/>
        <v>-144.17295990764634</v>
      </c>
      <c r="T232" t="str">
        <f t="shared" si="86"/>
        <v>1+70.52i</v>
      </c>
      <c r="U232" t="str">
        <f t="shared" si="87"/>
        <v>1+4.1i</v>
      </c>
      <c r="V232" t="str">
        <f t="shared" si="88"/>
        <v>-0.00106352807714124i</v>
      </c>
      <c r="W232" t="str">
        <f t="shared" si="96"/>
        <v>0.00396628494574515-0.0173252963546964i</v>
      </c>
      <c r="X232">
        <f t="shared" si="97"/>
        <v>-35.004540722141691</v>
      </c>
      <c r="Y232">
        <f t="shared" si="98"/>
        <v>-77.105460146992584</v>
      </c>
      <c r="Z232">
        <f t="shared" si="99"/>
        <v>65253.526667677092</v>
      </c>
      <c r="AA232">
        <f t="shared" ca="1" si="89"/>
        <v>-38.92337978283571</v>
      </c>
      <c r="AB232">
        <f t="shared" ca="1" si="90"/>
        <v>-16.399734447095312</v>
      </c>
    </row>
    <row r="233" spans="1:28" x14ac:dyDescent="0.2">
      <c r="A233">
        <v>420000</v>
      </c>
      <c r="B233" t="str">
        <f t="shared" si="91"/>
        <v>420000i</v>
      </c>
      <c r="C233" t="str">
        <f t="shared" ca="1" si="77"/>
        <v>1+5.65084331393839i</v>
      </c>
      <c r="D233" t="str">
        <f t="shared" ca="1" si="78"/>
        <v>1+2.96666616071583i</v>
      </c>
      <c r="E233" t="str">
        <f t="shared" ca="1" si="79"/>
        <v>1+1919.72045184203i</v>
      </c>
      <c r="F233">
        <f t="shared" ca="1" si="80"/>
        <v>69.486139019499433</v>
      </c>
      <c r="G233" t="str">
        <f t="shared" ca="1" si="92"/>
        <v>0.311621777655394+0.570761553247019i</v>
      </c>
      <c r="H233">
        <f t="shared" ca="1" si="93"/>
        <v>-3.7378605538564273</v>
      </c>
      <c r="I233">
        <f t="shared" ca="1" si="94"/>
        <v>61.366544732658724</v>
      </c>
      <c r="K233" t="str">
        <f t="shared" ca="1" si="81"/>
        <v>1+5.65084331393839i</v>
      </c>
      <c r="L233" t="str">
        <f t="shared" ca="1" si="82"/>
        <v>1-1.55451738420973i</v>
      </c>
      <c r="M233" t="str">
        <f t="shared" ca="1" si="83"/>
        <v>1+1808.26986046028i</v>
      </c>
      <c r="N233" t="str">
        <f t="shared" si="84"/>
        <v>1+4.55087713865837i</v>
      </c>
      <c r="O233">
        <f t="shared" ca="1" si="85"/>
        <v>30.873410267617786</v>
      </c>
      <c r="P233" t="str">
        <f t="shared" ca="1" si="100"/>
        <v>-0.0317831610428601-0.0223723793727545i</v>
      </c>
      <c r="Q233">
        <f t="shared" ca="1" si="95"/>
        <v>-28.208238737974515</v>
      </c>
      <c r="R233">
        <f t="shared" ca="1" si="101"/>
        <v>-144.85802966350545</v>
      </c>
      <c r="T233" t="str">
        <f t="shared" si="86"/>
        <v>1+72.24i</v>
      </c>
      <c r="U233" t="str">
        <f t="shared" si="87"/>
        <v>1+4.2i</v>
      </c>
      <c r="V233" t="str">
        <f t="shared" si="88"/>
        <v>-0.00103820598006645i</v>
      </c>
      <c r="W233" t="str">
        <f t="shared" si="96"/>
        <v>0.00378967461822539-0.0169548393766131i</v>
      </c>
      <c r="X233">
        <f t="shared" si="97"/>
        <v>-35.202401689913174</v>
      </c>
      <c r="Y233">
        <f t="shared" si="98"/>
        <v>-77.400582537365707</v>
      </c>
      <c r="Z233">
        <f t="shared" si="99"/>
        <v>66845.076098596037</v>
      </c>
      <c r="AA233">
        <f t="shared" ca="1" si="89"/>
        <v>-38.940262243769602</v>
      </c>
      <c r="AB233">
        <f t="shared" ca="1" si="90"/>
        <v>-16.034037804706983</v>
      </c>
    </row>
    <row r="234" spans="1:28" x14ac:dyDescent="0.2">
      <c r="A234">
        <v>430000</v>
      </c>
      <c r="B234" t="str">
        <f t="shared" si="91"/>
        <v>430000i</v>
      </c>
      <c r="C234" t="str">
        <f t="shared" ca="1" si="77"/>
        <v>1+5.78538720236549i</v>
      </c>
      <c r="D234" t="str">
        <f t="shared" ca="1" si="78"/>
        <v>1+3.0373010693043i</v>
      </c>
      <c r="E234" t="str">
        <f t="shared" ca="1" si="79"/>
        <v>1+1965.4280816478i</v>
      </c>
      <c r="F234">
        <f t="shared" ca="1" si="80"/>
        <v>69.486139019499433</v>
      </c>
      <c r="G234" t="str">
        <f t="shared" ca="1" si="92"/>
        <v>0.311620914772109+0.586047049075733i</v>
      </c>
      <c r="H234">
        <f t="shared" ca="1" si="93"/>
        <v>-3.5599618033058111</v>
      </c>
      <c r="I234">
        <f t="shared" ca="1" si="94"/>
        <v>61.99891989039326</v>
      </c>
      <c r="K234" t="str">
        <f t="shared" ca="1" si="81"/>
        <v>1+5.78538720236549i</v>
      </c>
      <c r="L234" t="str">
        <f t="shared" ca="1" si="82"/>
        <v>1-1.59152970288139i</v>
      </c>
      <c r="M234" t="str">
        <f t="shared" ca="1" si="83"/>
        <v>1+1851.32390475696i</v>
      </c>
      <c r="N234" t="str">
        <f t="shared" si="84"/>
        <v>1+4.65923135624547i</v>
      </c>
      <c r="O234">
        <f t="shared" ca="1" si="85"/>
        <v>30.873410267617786</v>
      </c>
      <c r="P234" t="str">
        <f t="shared" ca="1" si="100"/>
        <v>-0.0318347242280812-0.0218630654191183i</v>
      </c>
      <c r="Q234">
        <f t="shared" ca="1" si="95"/>
        <v>-28.263932536101109</v>
      </c>
      <c r="R234">
        <f t="shared" ca="1" si="101"/>
        <v>-145.51997170965325</v>
      </c>
      <c r="T234" t="str">
        <f t="shared" si="86"/>
        <v>1+73.96i</v>
      </c>
      <c r="U234" t="str">
        <f t="shared" si="87"/>
        <v>1+4.3i</v>
      </c>
      <c r="V234" t="str">
        <f t="shared" si="88"/>
        <v>-0.00101406165494862i</v>
      </c>
      <c r="W234" t="str">
        <f t="shared" si="96"/>
        <v>0.00362439891655828-0.0165989769961492i</v>
      </c>
      <c r="X234">
        <f t="shared" si="97"/>
        <v>-35.396099250743539</v>
      </c>
      <c r="Y234">
        <f t="shared" si="98"/>
        <v>-77.68274577329467</v>
      </c>
      <c r="Z234">
        <f t="shared" si="99"/>
        <v>68436.625529515004</v>
      </c>
      <c r="AA234">
        <f t="shared" ca="1" si="89"/>
        <v>-38.95606105404935</v>
      </c>
      <c r="AB234">
        <f t="shared" ca="1" si="90"/>
        <v>-15.683825882901409</v>
      </c>
    </row>
    <row r="235" spans="1:28" x14ac:dyDescent="0.2">
      <c r="A235">
        <v>440000</v>
      </c>
      <c r="B235" t="str">
        <f t="shared" si="91"/>
        <v>440000i</v>
      </c>
      <c r="C235" t="str">
        <f t="shared" ca="1" si="77"/>
        <v>1+5.9199310907926i</v>
      </c>
      <c r="D235" t="str">
        <f t="shared" ca="1" si="78"/>
        <v>1+3.10793597789277i</v>
      </c>
      <c r="E235" t="str">
        <f t="shared" ca="1" si="79"/>
        <v>1+2011.13571145356i</v>
      </c>
      <c r="F235">
        <f t="shared" ca="1" si="80"/>
        <v>69.486139019499433</v>
      </c>
      <c r="G235" t="str">
        <f t="shared" ca="1" si="92"/>
        <v>0.31162011005058+0.60129445442392i</v>
      </c>
      <c r="H235">
        <f t="shared" ca="1" si="93"/>
        <v>-3.3850713167930682</v>
      </c>
      <c r="I235">
        <f t="shared" ca="1" si="94"/>
        <v>62.604606573928749</v>
      </c>
      <c r="K235" t="str">
        <f t="shared" ca="1" si="81"/>
        <v>1+5.9199310907926i</v>
      </c>
      <c r="L235" t="str">
        <f t="shared" ca="1" si="82"/>
        <v>1-1.62854202155305i</v>
      </c>
      <c r="M235" t="str">
        <f t="shared" ca="1" si="83"/>
        <v>1+1894.37794905363i</v>
      </c>
      <c r="N235" t="str">
        <f t="shared" si="84"/>
        <v>1+4.76758557383258i</v>
      </c>
      <c r="O235">
        <f t="shared" ca="1" si="85"/>
        <v>30.873410267617786</v>
      </c>
      <c r="P235" t="str">
        <f t="shared" ca="1" si="100"/>
        <v>-0.0318830077766472-0.0213762203193566i</v>
      </c>
      <c r="Q235">
        <f t="shared" ca="1" si="95"/>
        <v>-28.316590026336868</v>
      </c>
      <c r="R235">
        <f t="shared" ca="1" si="101"/>
        <v>-146.15980397822202</v>
      </c>
      <c r="T235" t="str">
        <f t="shared" si="86"/>
        <v>1+75.68i</v>
      </c>
      <c r="U235" t="str">
        <f t="shared" si="87"/>
        <v>1+4.4i</v>
      </c>
      <c r="V235" t="str">
        <f t="shared" si="88"/>
        <v>-0.000991014799154334i</v>
      </c>
      <c r="W235" t="str">
        <f t="shared" si="96"/>
        <v>0.00346952528898433-0.0162569260706854i</v>
      </c>
      <c r="X235">
        <f t="shared" si="97"/>
        <v>-35.585794268160541</v>
      </c>
      <c r="Y235">
        <f t="shared" si="98"/>
        <v>-77.952769416978015</v>
      </c>
      <c r="Z235">
        <f t="shared" si="99"/>
        <v>70028.174960433957</v>
      </c>
      <c r="AA235">
        <f t="shared" ca="1" si="89"/>
        <v>-38.970865584953607</v>
      </c>
      <c r="AB235">
        <f t="shared" ca="1" si="90"/>
        <v>-15.348162843049266</v>
      </c>
    </row>
    <row r="236" spans="1:28" x14ac:dyDescent="0.2">
      <c r="A236">
        <v>450000</v>
      </c>
      <c r="B236" t="str">
        <f t="shared" si="91"/>
        <v>450000i</v>
      </c>
      <c r="C236" t="str">
        <f t="shared" ca="1" si="77"/>
        <v>1+6.0544749792197i</v>
      </c>
      <c r="D236" t="str">
        <f t="shared" ca="1" si="78"/>
        <v>1+3.17857088648125i</v>
      </c>
      <c r="E236" t="str">
        <f t="shared" ca="1" si="79"/>
        <v>1+2056.84334125932i</v>
      </c>
      <c r="F236">
        <f t="shared" ca="1" si="80"/>
        <v>69.486139019499433</v>
      </c>
      <c r="G236" t="str">
        <f t="shared" ca="1" si="92"/>
        <v>0.311619358378761+0.61650630865446i</v>
      </c>
      <c r="H236">
        <f t="shared" ca="1" si="93"/>
        <v>-3.2131171201405295</v>
      </c>
      <c r="I236">
        <f t="shared" ca="1" si="94"/>
        <v>63.185221940592392</v>
      </c>
      <c r="K236" t="str">
        <f t="shared" ca="1" si="81"/>
        <v>1+6.0544749792197i</v>
      </c>
      <c r="L236" t="str">
        <f t="shared" ca="1" si="82"/>
        <v>1-1.66555434022471i</v>
      </c>
      <c r="M236" t="str">
        <f t="shared" ca="1" si="83"/>
        <v>1+1937.4319933503i</v>
      </c>
      <c r="N236" t="str">
        <f t="shared" si="84"/>
        <v>1+4.87593979141968i</v>
      </c>
      <c r="O236">
        <f t="shared" ca="1" si="85"/>
        <v>30.873410267617786</v>
      </c>
      <c r="P236" t="str">
        <f t="shared" ca="1" si="100"/>
        <v>-0.0319282801511978-0.0209104006823389i</v>
      </c>
      <c r="Q236">
        <f t="shared" ca="1" si="95"/>
        <v>-28.366418262090413</v>
      </c>
      <c r="R236">
        <f t="shared" ca="1" si="101"/>
        <v>-146.77849495591275</v>
      </c>
      <c r="T236" t="str">
        <f t="shared" si="86"/>
        <v>1+77.4i</v>
      </c>
      <c r="U236" t="str">
        <f t="shared" si="87"/>
        <v>1+4.5i</v>
      </c>
      <c r="V236" t="str">
        <f t="shared" si="88"/>
        <v>-0.000968992248062016i</v>
      </c>
      <c r="W236" t="str">
        <f t="shared" si="96"/>
        <v>0.00332421340629275-0.0159279525763794i</v>
      </c>
      <c r="X236">
        <f t="shared" si="97"/>
        <v>-35.771639195982502</v>
      </c>
      <c r="Y236">
        <f t="shared" si="98"/>
        <v>-78.211406655498919</v>
      </c>
      <c r="Z236">
        <f t="shared" si="99"/>
        <v>71619.724391352909</v>
      </c>
      <c r="AA236">
        <f t="shared" ca="1" si="89"/>
        <v>-38.984756316123033</v>
      </c>
      <c r="AB236">
        <f t="shared" ca="1" si="90"/>
        <v>-15.026184714906528</v>
      </c>
    </row>
    <row r="237" spans="1:28" x14ac:dyDescent="0.2">
      <c r="A237">
        <v>460000</v>
      </c>
      <c r="B237" t="str">
        <f t="shared" si="91"/>
        <v>460000i</v>
      </c>
      <c r="C237" t="str">
        <f t="shared" ca="1" si="77"/>
        <v>1+6.18901886764681i</v>
      </c>
      <c r="D237" t="str">
        <f t="shared" ca="1" si="78"/>
        <v>1+3.24920579506972i</v>
      </c>
      <c r="E237" t="str">
        <f t="shared" ca="1" si="79"/>
        <v>1+2102.55097106508i</v>
      </c>
      <c r="F237">
        <f t="shared" ca="1" si="80"/>
        <v>69.486139019499433</v>
      </c>
      <c r="G237" t="str">
        <f t="shared" ca="1" si="92"/>
        <v>0.311618655194159+0.631684930316324i</v>
      </c>
      <c r="H237">
        <f t="shared" ca="1" si="93"/>
        <v>-3.0440272773072423</v>
      </c>
      <c r="I237">
        <f t="shared" ca="1" si="94"/>
        <v>63.742257938267493</v>
      </c>
      <c r="K237" t="str">
        <f t="shared" ca="1" si="81"/>
        <v>1+6.18901886764681i</v>
      </c>
      <c r="L237" t="str">
        <f t="shared" ca="1" si="82"/>
        <v>1-1.70256665889637i</v>
      </c>
      <c r="M237" t="str">
        <f t="shared" ca="1" si="83"/>
        <v>1+1980.48603764698i</v>
      </c>
      <c r="N237" t="str">
        <f t="shared" si="84"/>
        <v>1+4.98429400900678i</v>
      </c>
      <c r="O237">
        <f t="shared" ca="1" si="85"/>
        <v>30.873410267617786</v>
      </c>
      <c r="P237" t="str">
        <f t="shared" ca="1" si="100"/>
        <v>-0.0319707832883896-0.0204642833626283i</v>
      </c>
      <c r="Q237">
        <f t="shared" ca="1" si="95"/>
        <v>-28.413607702707964</v>
      </c>
      <c r="R237">
        <f t="shared" ca="1" si="101"/>
        <v>-147.37696577707001</v>
      </c>
      <c r="T237" t="str">
        <f t="shared" si="86"/>
        <v>1+79.12i</v>
      </c>
      <c r="U237" t="str">
        <f t="shared" si="87"/>
        <v>1+4.6i</v>
      </c>
      <c r="V237" t="str">
        <f t="shared" si="88"/>
        <v>-0.000947927199191102i</v>
      </c>
      <c r="W237" t="str">
        <f t="shared" si="96"/>
        <v>0.00318770464276719-0.0156113685559202i</v>
      </c>
      <c r="X237">
        <f t="shared" si="97"/>
        <v>-35.95377858414637</v>
      </c>
      <c r="Y237">
        <f t="shared" si="98"/>
        <v>-78.459350752637377</v>
      </c>
      <c r="Z237">
        <f t="shared" si="99"/>
        <v>73211.273822271862</v>
      </c>
      <c r="AA237">
        <f t="shared" ca="1" si="89"/>
        <v>-38.997805861453614</v>
      </c>
      <c r="AB237">
        <f t="shared" ca="1" si="90"/>
        <v>-14.717092814369884</v>
      </c>
    </row>
    <row r="238" spans="1:28" x14ac:dyDescent="0.2">
      <c r="A238">
        <v>470000</v>
      </c>
      <c r="B238" t="str">
        <f t="shared" si="91"/>
        <v>470000i</v>
      </c>
      <c r="C238" t="str">
        <f t="shared" ca="1" si="77"/>
        <v>1+6.32356275607391i</v>
      </c>
      <c r="D238" t="str">
        <f t="shared" ca="1" si="78"/>
        <v>1+3.31984070365819i</v>
      </c>
      <c r="E238" t="str">
        <f t="shared" ca="1" si="79"/>
        <v>1+2148.25860087085i</v>
      </c>
      <c r="F238">
        <f t="shared" ca="1" si="80"/>
        <v>69.486139019499433</v>
      </c>
      <c r="G238" t="str">
        <f t="shared" ca="1" si="92"/>
        <v>0.311617996414426+0.646832440635401i</v>
      </c>
      <c r="H238">
        <f t="shared" ca="1" si="93"/>
        <v>-2.8777303053700694</v>
      </c>
      <c r="I238">
        <f t="shared" ca="1" si="94"/>
        <v>64.277092926822007</v>
      </c>
      <c r="K238" t="str">
        <f t="shared" ca="1" si="81"/>
        <v>1+6.32356275607391i</v>
      </c>
      <c r="L238" t="str">
        <f t="shared" ca="1" si="82"/>
        <v>1-1.73957897756803i</v>
      </c>
      <c r="M238" t="str">
        <f t="shared" ca="1" si="83"/>
        <v>1+2023.54008194365i</v>
      </c>
      <c r="N238" t="str">
        <f t="shared" si="84"/>
        <v>1+5.09264822659389i</v>
      </c>
      <c r="O238">
        <f t="shared" ca="1" si="85"/>
        <v>30.873410267617786</v>
      </c>
      <c r="P238" t="str">
        <f t="shared" ca="1" si="100"/>
        <v>-0.0320107356362866-0.0200366532579744i</v>
      </c>
      <c r="Q238">
        <f t="shared" ca="1" si="95"/>
        <v>-28.458333716937233</v>
      </c>
      <c r="R238">
        <f t="shared" ca="1" si="101"/>
        <v>-147.9560923209396</v>
      </c>
      <c r="T238" t="str">
        <f t="shared" si="86"/>
        <v>1+80.84i</v>
      </c>
      <c r="U238" t="str">
        <f t="shared" si="87"/>
        <v>1+4.7i</v>
      </c>
      <c r="V238" t="str">
        <f t="shared" si="88"/>
        <v>-0.000927758535378526i</v>
      </c>
      <c r="W238" t="str">
        <f t="shared" si="96"/>
        <v>0.00305931290098402-0.0153065291700034i</v>
      </c>
      <c r="X238">
        <f t="shared" si="97"/>
        <v>-36.132349555996811</v>
      </c>
      <c r="Y238">
        <f t="shared" si="98"/>
        <v>-78.697240778900195</v>
      </c>
      <c r="Z238">
        <f t="shared" si="99"/>
        <v>74802.823253190814</v>
      </c>
      <c r="AA238">
        <f t="shared" ca="1" si="89"/>
        <v>-39.010079861366883</v>
      </c>
      <c r="AB238">
        <f t="shared" ca="1" si="90"/>
        <v>-14.420147852078188</v>
      </c>
    </row>
    <row r="239" spans="1:28" x14ac:dyDescent="0.2">
      <c r="A239">
        <v>480000</v>
      </c>
      <c r="B239" t="str">
        <f t="shared" si="91"/>
        <v>480000i</v>
      </c>
      <c r="C239" t="str">
        <f t="shared" ca="1" si="77"/>
        <v>1+6.45810664450102i</v>
      </c>
      <c r="D239" t="str">
        <f t="shared" ca="1" si="78"/>
        <v>1+3.39047561224666i</v>
      </c>
      <c r="E239" t="str">
        <f t="shared" ca="1" si="79"/>
        <v>1+2193.96623067661i</v>
      </c>
      <c r="F239">
        <f t="shared" ca="1" si="80"/>
        <v>69.486139019499433</v>
      </c>
      <c r="G239" t="str">
        <f t="shared" ca="1" si="92"/>
        <v>0.311617378377986+0.661950784068953i</v>
      </c>
      <c r="H239">
        <f t="shared" ca="1" si="93"/>
        <v>-2.7141555032968561</v>
      </c>
      <c r="I239">
        <f t="shared" ca="1" si="94"/>
        <v>64.791002057933269</v>
      </c>
      <c r="K239" t="str">
        <f t="shared" ca="1" si="81"/>
        <v>1+6.45810664450102i</v>
      </c>
      <c r="L239" t="str">
        <f t="shared" ca="1" si="82"/>
        <v>1-1.77659129623969i</v>
      </c>
      <c r="M239" t="str">
        <f t="shared" ca="1" si="83"/>
        <v>1+2066.59412624032i</v>
      </c>
      <c r="N239" t="str">
        <f t="shared" si="84"/>
        <v>1+5.20100244418099i</v>
      </c>
      <c r="O239">
        <f t="shared" ca="1" si="85"/>
        <v>30.873410267617786</v>
      </c>
      <c r="P239" t="str">
        <f t="shared" ca="1" si="100"/>
        <v>-0.0320483347999992-0.0196263925577626i</v>
      </c>
      <c r="Q239">
        <f t="shared" ca="1" si="95"/>
        <v>-28.500757936252604</v>
      </c>
      <c r="R239">
        <f t="shared" ca="1" si="101"/>
        <v>-148.51670729095557</v>
      </c>
      <c r="T239" t="str">
        <f t="shared" si="86"/>
        <v>1+82.56i</v>
      </c>
      <c r="U239" t="str">
        <f t="shared" si="87"/>
        <v>1+4.8i</v>
      </c>
      <c r="V239" t="str">
        <f t="shared" si="88"/>
        <v>-0.00090843023255814i</v>
      </c>
      <c r="W239" t="str">
        <f t="shared" si="96"/>
        <v>0.00293841659250087-0.0150128298765623i</v>
      </c>
      <c r="X239">
        <f t="shared" si="97"/>
        <v>-36.307482257431204</v>
      </c>
      <c r="Y239">
        <f t="shared" si="98"/>
        <v>-78.925666709927</v>
      </c>
      <c r="Z239">
        <f t="shared" si="99"/>
        <v>76394.372684109767</v>
      </c>
      <c r="AA239">
        <f t="shared" ca="1" si="89"/>
        <v>-39.021637760728062</v>
      </c>
      <c r="AB239">
        <f t="shared" ca="1" si="90"/>
        <v>-14.134664651993731</v>
      </c>
    </row>
    <row r="240" spans="1:28" x14ac:dyDescent="0.2">
      <c r="A240">
        <v>490000</v>
      </c>
      <c r="B240" t="str">
        <f t="shared" si="91"/>
        <v>490000i</v>
      </c>
      <c r="C240" t="str">
        <f t="shared" ca="1" si="77"/>
        <v>1+6.59265053292812i</v>
      </c>
      <c r="D240" t="str">
        <f t="shared" ca="1" si="78"/>
        <v>1+3.46111052083513i</v>
      </c>
      <c r="E240" t="str">
        <f t="shared" ca="1" si="79"/>
        <v>1+2239.67386048237i</v>
      </c>
      <c r="F240">
        <f t="shared" ca="1" si="80"/>
        <v>69.486139019499433</v>
      </c>
      <c r="G240" t="str">
        <f t="shared" ca="1" si="92"/>
        <v>0.311616797793034+0.677041746343192i</v>
      </c>
      <c r="H240">
        <f t="shared" ca="1" si="93"/>
        <v>-2.5532332099745592</v>
      </c>
      <c r="I240">
        <f t="shared" ca="1" si="94"/>
        <v>65.285166561709119</v>
      </c>
      <c r="K240" t="str">
        <f t="shared" ca="1" si="81"/>
        <v>1+6.59265053292812i</v>
      </c>
      <c r="L240" t="str">
        <f t="shared" ca="1" si="82"/>
        <v>1-1.81360361491135i</v>
      </c>
      <c r="M240" t="str">
        <f t="shared" ca="1" si="83"/>
        <v>1+2109.648170537i</v>
      </c>
      <c r="N240" t="str">
        <f t="shared" si="84"/>
        <v>1+5.3093566617681i</v>
      </c>
      <c r="O240">
        <f t="shared" ca="1" si="85"/>
        <v>30.873410267617786</v>
      </c>
      <c r="P240" t="str">
        <f t="shared" ca="1" si="100"/>
        <v>-0.0320837598512793-0.0192324712454808i</v>
      </c>
      <c r="Q240">
        <f t="shared" ca="1" si="95"/>
        <v>-28.541029474321327</v>
      </c>
      <c r="R240">
        <f t="shared" ca="1" si="101"/>
        <v>-149.05960225887898</v>
      </c>
      <c r="T240" t="str">
        <f t="shared" si="86"/>
        <v>1+84.28i</v>
      </c>
      <c r="U240" t="str">
        <f t="shared" si="87"/>
        <v>1+4.9i</v>
      </c>
      <c r="V240" t="str">
        <f t="shared" si="88"/>
        <v>-0.000889890840056953i</v>
      </c>
      <c r="W240" t="str">
        <f t="shared" si="96"/>
        <v>0.00282445161470296-0.0147297037521014i</v>
      </c>
      <c r="X240">
        <f t="shared" si="97"/>
        <v>-36.479300278676376</v>
      </c>
      <c r="Y240">
        <f t="shared" si="98"/>
        <v>-79.145173971158428</v>
      </c>
      <c r="Z240">
        <f t="shared" si="99"/>
        <v>77985.922115028719</v>
      </c>
      <c r="AA240">
        <f t="shared" ca="1" si="89"/>
        <v>-39.032533488650934</v>
      </c>
      <c r="AB240">
        <f t="shared" ca="1" si="90"/>
        <v>-13.86000740944931</v>
      </c>
    </row>
    <row r="241" spans="1:28" x14ac:dyDescent="0.2">
      <c r="A241">
        <v>500000</v>
      </c>
      <c r="B241" t="str">
        <f t="shared" si="91"/>
        <v>500000i</v>
      </c>
      <c r="C241" t="str">
        <f t="shared" ca="1" si="77"/>
        <v>1+6.72719442135522i</v>
      </c>
      <c r="D241" t="str">
        <f t="shared" ca="1" si="78"/>
        <v>1+3.53174542942361i</v>
      </c>
      <c r="E241" t="str">
        <f t="shared" ca="1" si="79"/>
        <v>1+2285.38149028814i</v>
      </c>
      <c r="F241">
        <f t="shared" ca="1" si="80"/>
        <v>69.486139019499433</v>
      </c>
      <c r="G241" t="str">
        <f t="shared" ca="1" si="92"/>
        <v>0.311616251693622+0.692106970326381i</v>
      </c>
      <c r="H241">
        <f t="shared" ca="1" si="93"/>
        <v>-2.3948950041821782</v>
      </c>
      <c r="I241">
        <f t="shared" ca="1" si="94"/>
        <v>65.760682069082037</v>
      </c>
      <c r="K241" t="str">
        <f t="shared" ca="1" si="81"/>
        <v>1+6.72719442135522i</v>
      </c>
      <c r="L241" t="str">
        <f t="shared" ca="1" si="82"/>
        <v>1-1.85061593358301i</v>
      </c>
      <c r="M241" t="str">
        <f t="shared" ca="1" si="83"/>
        <v>1+2152.70221483367i</v>
      </c>
      <c r="N241" t="str">
        <f t="shared" si="84"/>
        <v>1+5.4177108793552i</v>
      </c>
      <c r="O241">
        <f t="shared" ca="1" si="85"/>
        <v>30.873410267617786</v>
      </c>
      <c r="P241" t="str">
        <f t="shared" ca="1" si="100"/>
        <v>-0.0321171733491944-0.0188539386882163i</v>
      </c>
      <c r="Q241">
        <f t="shared" ca="1" si="95"/>
        <v>-28.579286026980025</v>
      </c>
      <c r="R241">
        <f t="shared" ca="1" si="101"/>
        <v>-149.58552966069743</v>
      </c>
      <c r="T241" t="str">
        <f t="shared" si="86"/>
        <v>1+86i</v>
      </c>
      <c r="U241" t="str">
        <f t="shared" si="87"/>
        <v>1+5i</v>
      </c>
      <c r="V241" t="str">
        <f t="shared" si="88"/>
        <v>-0.000872093023255814i</v>
      </c>
      <c r="W241" t="str">
        <f t="shared" si="96"/>
        <v>0.00271690518783542-0.0144566189624329i</v>
      </c>
      <c r="X241">
        <f t="shared" si="97"/>
        <v>-36.647921049726463</v>
      </c>
      <c r="Y241">
        <f t="shared" si="98"/>
        <v>-79.356267496162914</v>
      </c>
      <c r="Z241">
        <f t="shared" si="99"/>
        <v>79577.471545947672</v>
      </c>
      <c r="AA241">
        <f t="shared" ca="1" si="89"/>
        <v>-39.042816053908638</v>
      </c>
      <c r="AB241">
        <f t="shared" ca="1" si="90"/>
        <v>-13.595585427080877</v>
      </c>
    </row>
    <row r="242" spans="1:28" x14ac:dyDescent="0.2">
      <c r="A242">
        <v>510000</v>
      </c>
      <c r="B242" t="str">
        <f t="shared" si="91"/>
        <v>510000i</v>
      </c>
      <c r="C242" t="str">
        <f t="shared" ca="1" si="77"/>
        <v>1+6.86173830978233i</v>
      </c>
      <c r="D242" t="str">
        <f t="shared" ca="1" si="78"/>
        <v>1+3.60238033801208i</v>
      </c>
      <c r="E242" t="str">
        <f t="shared" ca="1" si="79"/>
        <v>1+2331.0891200939i</v>
      </c>
      <c r="F242">
        <f t="shared" ca="1" si="80"/>
        <v>69.486139019499433</v>
      </c>
      <c r="G242" t="str">
        <f t="shared" ca="1" si="92"/>
        <v>0.311615737401702+0.707147970034488i</v>
      </c>
      <c r="H242">
        <f t="shared" ca="1" si="93"/>
        <v>-2.239073856941979</v>
      </c>
      <c r="I242">
        <f t="shared" ca="1" si="94"/>
        <v>66.218566082271266</v>
      </c>
      <c r="K242" t="str">
        <f t="shared" ca="1" si="81"/>
        <v>1+6.86173830978233i</v>
      </c>
      <c r="L242" t="str">
        <f t="shared" ca="1" si="82"/>
        <v>1-1.88762825225467i</v>
      </c>
      <c r="M242" t="str">
        <f t="shared" ca="1" si="83"/>
        <v>1+2195.75625913034i</v>
      </c>
      <c r="N242" t="str">
        <f t="shared" si="84"/>
        <v>1+5.5260650969423i</v>
      </c>
      <c r="O242">
        <f t="shared" ca="1" si="85"/>
        <v>30.873410267617786</v>
      </c>
      <c r="P242" t="str">
        <f t="shared" ca="1" si="100"/>
        <v>-0.0321487231118274-0.0184899161711101i</v>
      </c>
      <c r="Q242">
        <f t="shared" ca="1" si="95"/>
        <v>-28.615654865427874</v>
      </c>
      <c r="R242">
        <f t="shared" ca="1" si="101"/>
        <v>-150.09520473453048</v>
      </c>
      <c r="T242" t="str">
        <f t="shared" si="86"/>
        <v>1+87.72i</v>
      </c>
      <c r="U242" t="str">
        <f t="shared" si="87"/>
        <v>1+5.1i</v>
      </c>
      <c r="V242" t="str">
        <f t="shared" si="88"/>
        <v>-0.00085499316005472i</v>
      </c>
      <c r="W242" t="str">
        <f t="shared" si="96"/>
        <v>0.00261531043627253-0.0141930763850446i</v>
      </c>
      <c r="X242">
        <f t="shared" si="97"/>
        <v>-36.813456210633213</v>
      </c>
      <c r="Y242">
        <f t="shared" si="98"/>
        <v>-79.559415357037011</v>
      </c>
      <c r="Z242">
        <f t="shared" si="99"/>
        <v>81169.020976866625</v>
      </c>
      <c r="AA242">
        <f t="shared" ca="1" si="89"/>
        <v>-39.052530067575191</v>
      </c>
      <c r="AB242">
        <f t="shared" ca="1" si="90"/>
        <v>-13.340849274765745</v>
      </c>
    </row>
    <row r="243" spans="1:28" x14ac:dyDescent="0.2">
      <c r="A243">
        <v>520000</v>
      </c>
      <c r="B243" t="str">
        <f t="shared" si="91"/>
        <v>520000i</v>
      </c>
      <c r="C243" t="str">
        <f t="shared" ca="1" si="77"/>
        <v>1+6.99628219820943i</v>
      </c>
      <c r="D243" t="str">
        <f t="shared" ca="1" si="78"/>
        <v>1+3.67301524660055i</v>
      </c>
      <c r="E243" t="str">
        <f t="shared" ca="1" si="79"/>
        <v>1+2376.79674989966i</v>
      </c>
      <c r="F243">
        <f t="shared" ca="1" si="80"/>
        <v>69.486139019499433</v>
      </c>
      <c r="G243" t="str">
        <f t="shared" ca="1" si="92"/>
        <v>0.311615252494225+0.722166143020831i</v>
      </c>
      <c r="H243">
        <f t="shared" ca="1" si="93"/>
        <v>-2.0857042448383787</v>
      </c>
      <c r="I243">
        <f t="shared" ca="1" si="94"/>
        <v>66.659764691249606</v>
      </c>
      <c r="K243" t="str">
        <f t="shared" ca="1" si="81"/>
        <v>1+6.99628219820943i</v>
      </c>
      <c r="L243" t="str">
        <f t="shared" ca="1" si="82"/>
        <v>1-1.92464057092633i</v>
      </c>
      <c r="M243" t="str">
        <f t="shared" ca="1" si="83"/>
        <v>1+2238.81030342702i</v>
      </c>
      <c r="N243" t="str">
        <f t="shared" si="84"/>
        <v>1+5.63441931452941i</v>
      </c>
      <c r="O243">
        <f t="shared" ca="1" si="85"/>
        <v>30.873410267617786</v>
      </c>
      <c r="P243" t="str">
        <f t="shared" ca="1" si="100"/>
        <v>-0.0321785437729516-0.01813959025551i</v>
      </c>
      <c r="Q243">
        <f t="shared" ca="1" si="95"/>
        <v>-28.650253733885634</v>
      </c>
      <c r="R243">
        <f t="shared" ca="1" si="101"/>
        <v>-150.58930739350166</v>
      </c>
      <c r="T243" t="str">
        <f t="shared" si="86"/>
        <v>1+89.44i</v>
      </c>
      <c r="U243" t="str">
        <f t="shared" si="87"/>
        <v>1+5.2i</v>
      </c>
      <c r="V243" t="str">
        <f t="shared" si="88"/>
        <v>-0.000838550983899821i</v>
      </c>
      <c r="W243" t="str">
        <f t="shared" si="96"/>
        <v>0.00251924161496865-0.0139386073817368i</v>
      </c>
      <c r="X243">
        <f t="shared" si="97"/>
        <v>-36.976011957931988</v>
      </c>
      <c r="Y243">
        <f t="shared" si="98"/>
        <v>-79.755052017600121</v>
      </c>
      <c r="Z243">
        <f t="shared" si="99"/>
        <v>82760.570407785577</v>
      </c>
      <c r="AA243">
        <f t="shared" ca="1" si="89"/>
        <v>-39.06171620277037</v>
      </c>
      <c r="AB243">
        <f t="shared" ca="1" si="90"/>
        <v>-13.095287326350515</v>
      </c>
    </row>
    <row r="244" spans="1:28" x14ac:dyDescent="0.2">
      <c r="A244">
        <v>530000</v>
      </c>
      <c r="B244" t="str">
        <f t="shared" si="91"/>
        <v>530000i</v>
      </c>
      <c r="C244" t="str">
        <f t="shared" ca="1" si="77"/>
        <v>1+7.13082608663654i</v>
      </c>
      <c r="D244" t="str">
        <f t="shared" ca="1" si="78"/>
        <v>1+3.74365015518902i</v>
      </c>
      <c r="E244" t="str">
        <f t="shared" ca="1" si="79"/>
        <v>1+2422.50437970542i</v>
      </c>
      <c r="F244">
        <f t="shared" ca="1" si="80"/>
        <v>69.486139019499433</v>
      </c>
      <c r="G244" t="str">
        <f t="shared" ca="1" si="92"/>
        <v>0.311614794774558+0.737162781363086i</v>
      </c>
      <c r="H244">
        <f t="shared" ca="1" si="93"/>
        <v>-1.934722231387114</v>
      </c>
      <c r="I244">
        <f t="shared" ca="1" si="94"/>
        <v>67.085158621770006</v>
      </c>
      <c r="K244" t="str">
        <f t="shared" ca="1" si="81"/>
        <v>1+7.13082608663654i</v>
      </c>
      <c r="L244" t="str">
        <f t="shared" ca="1" si="82"/>
        <v>1-1.96165288959799i</v>
      </c>
      <c r="M244" t="str">
        <f t="shared" ca="1" si="83"/>
        <v>1+2281.86434772369i</v>
      </c>
      <c r="N244" t="str">
        <f t="shared" si="84"/>
        <v>1+5.74277353211651i</v>
      </c>
      <c r="O244">
        <f t="shared" ca="1" si="85"/>
        <v>30.873410267617786</v>
      </c>
      <c r="P244" t="str">
        <f t="shared" ca="1" si="100"/>
        <v>-0.0322067581525856-0.0178022068569949i</v>
      </c>
      <c r="Q244">
        <f t="shared" ca="1" si="95"/>
        <v>-28.683191661697961</v>
      </c>
      <c r="R244">
        <f t="shared" ca="1" si="101"/>
        <v>-151.06848402874678</v>
      </c>
      <c r="T244" t="str">
        <f t="shared" si="86"/>
        <v>1+91.16i</v>
      </c>
      <c r="U244" t="str">
        <f t="shared" si="87"/>
        <v>1+5.3i</v>
      </c>
      <c r="V244" t="str">
        <f t="shared" si="88"/>
        <v>-0.000822729267222466i</v>
      </c>
      <c r="W244" t="str">
        <f t="shared" si="96"/>
        <v>0.00242830989631217-0.0136927717176769i</v>
      </c>
      <c r="X244">
        <f t="shared" si="97"/>
        <v>-37.135689368529619</v>
      </c>
      <c r="Y244">
        <f t="shared" si="98"/>
        <v>-79.943581253495964</v>
      </c>
      <c r="Z244">
        <f t="shared" si="99"/>
        <v>84352.11983870453</v>
      </c>
      <c r="AA244">
        <f t="shared" ca="1" si="89"/>
        <v>-39.070411599916731</v>
      </c>
      <c r="AB244">
        <f t="shared" ca="1" si="90"/>
        <v>-12.858422631725958</v>
      </c>
    </row>
    <row r="245" spans="1:28" x14ac:dyDescent="0.2">
      <c r="A245">
        <v>540000</v>
      </c>
      <c r="B245" t="str">
        <f t="shared" si="91"/>
        <v>540000i</v>
      </c>
      <c r="C245" t="str">
        <f t="shared" ca="1" si="77"/>
        <v>1+7.26536997506364i</v>
      </c>
      <c r="D245" t="str">
        <f t="shared" ca="1" si="78"/>
        <v>1+3.8142850637775i</v>
      </c>
      <c r="E245" t="str">
        <f t="shared" ca="1" si="79"/>
        <v>1+2468.21200951119i</v>
      </c>
      <c r="F245">
        <f t="shared" ca="1" si="80"/>
        <v>69.486139019499433</v>
      </c>
      <c r="G245" t="str">
        <f t="shared" ca="1" si="92"/>
        <v>0.311614362247554+0.752139081429565i</v>
      </c>
      <c r="H245">
        <f t="shared" ca="1" si="93"/>
        <v>-1.786065522300031</v>
      </c>
      <c r="I245">
        <f t="shared" ca="1" si="94"/>
        <v>67.495568689828374</v>
      </c>
      <c r="K245" t="str">
        <f t="shared" ca="1" si="81"/>
        <v>1+7.26536997506364i</v>
      </c>
      <c r="L245" t="str">
        <f t="shared" ca="1" si="82"/>
        <v>1-1.99866520826965i</v>
      </c>
      <c r="M245" t="str">
        <f t="shared" ca="1" si="83"/>
        <v>1+2324.91839202036i</v>
      </c>
      <c r="N245" t="str">
        <f t="shared" si="84"/>
        <v>1+5.85112774970362i</v>
      </c>
      <c r="O245">
        <f t="shared" ca="1" si="85"/>
        <v>30.873410267617786</v>
      </c>
      <c r="P245" t="str">
        <f t="shared" ca="1" si="100"/>
        <v>-0.032233478466104-0.017477065954122i</v>
      </c>
      <c r="Q245">
        <f t="shared" ca="1" si="95"/>
        <v>-28.714569698734778</v>
      </c>
      <c r="R245">
        <f t="shared" ca="1" si="101"/>
        <v>-151.53334923949757</v>
      </c>
      <c r="T245" t="str">
        <f t="shared" si="86"/>
        <v>1+92.88i</v>
      </c>
      <c r="U245" t="str">
        <f t="shared" si="87"/>
        <v>1+5.4i</v>
      </c>
      <c r="V245" t="str">
        <f t="shared" si="88"/>
        <v>-0.00080749354005168i</v>
      </c>
      <c r="W245" t="str">
        <f t="shared" si="96"/>
        <v>0.00234215964468571-0.0134551556213545i</v>
      </c>
      <c r="X245">
        <f t="shared" si="97"/>
        <v>-37.292584702385781</v>
      </c>
      <c r="Y245">
        <f t="shared" si="98"/>
        <v>-80.125378777637493</v>
      </c>
      <c r="Z245">
        <f t="shared" si="99"/>
        <v>85943.669269623482</v>
      </c>
      <c r="AA245">
        <f t="shared" ca="1" si="89"/>
        <v>-39.078650224685809</v>
      </c>
      <c r="AB245">
        <f t="shared" ca="1" si="90"/>
        <v>-12.629810087809119</v>
      </c>
    </row>
    <row r="246" spans="1:28" x14ac:dyDescent="0.2">
      <c r="A246">
        <v>550000</v>
      </c>
      <c r="B246" t="str">
        <f t="shared" si="91"/>
        <v>550000i</v>
      </c>
      <c r="C246" t="str">
        <f t="shared" ca="1" si="77"/>
        <v>1+7.39991386349075i</v>
      </c>
      <c r="D246" t="str">
        <f t="shared" ca="1" si="78"/>
        <v>1+3.88491997236597i</v>
      </c>
      <c r="E246" t="str">
        <f t="shared" ca="1" si="79"/>
        <v>1+2513.91963931695i</v>
      </c>
      <c r="F246">
        <f t="shared" ca="1" si="80"/>
        <v>69.486139019499433</v>
      </c>
      <c r="G246" t="str">
        <f t="shared" ca="1" si="92"/>
        <v>0.311613953097784+0.767096152580045i</v>
      </c>
      <c r="H246">
        <f t="shared" ca="1" si="93"/>
        <v>-1.6396734994765272</v>
      </c>
      <c r="I246">
        <f t="shared" ca="1" si="94"/>
        <v>67.89176072818762</v>
      </c>
      <c r="K246" t="str">
        <f t="shared" ca="1" si="81"/>
        <v>1+7.39991386349075i</v>
      </c>
      <c r="L246" t="str">
        <f t="shared" ca="1" si="82"/>
        <v>1-2.03567752694131i</v>
      </c>
      <c r="M246" t="str">
        <f t="shared" ca="1" si="83"/>
        <v>1+2367.97243631704i</v>
      </c>
      <c r="N246" t="str">
        <f t="shared" si="84"/>
        <v>1+5.95948196729072i</v>
      </c>
      <c r="O246">
        <f t="shared" ca="1" si="85"/>
        <v>30.873410267617786</v>
      </c>
      <c r="P246" t="str">
        <f t="shared" ca="1" si="100"/>
        <v>-0.0322588073930079-0.0171635168511156i</v>
      </c>
      <c r="Q246">
        <f t="shared" ca="1" si="95"/>
        <v>-28.744481581965459</v>
      </c>
      <c r="R246">
        <f t="shared" ca="1" si="101"/>
        <v>-151.98448748861472</v>
      </c>
      <c r="T246" t="str">
        <f t="shared" si="86"/>
        <v>1+94.6i</v>
      </c>
      <c r="U246" t="str">
        <f t="shared" si="87"/>
        <v>1+5.5i</v>
      </c>
      <c r="V246" t="str">
        <f t="shared" si="88"/>
        <v>-0.000792811839323467i</v>
      </c>
      <c r="W246" t="str">
        <f t="shared" si="96"/>
        <v>0.00226046511627907-0.0132253699788583i</v>
      </c>
      <c r="X246">
        <f t="shared" si="97"/>
        <v>-37.446789685300686</v>
      </c>
      <c r="Y246">
        <f t="shared" si="98"/>
        <v>-80.300794604540826</v>
      </c>
      <c r="Z246">
        <f t="shared" si="99"/>
        <v>87535.218700542435</v>
      </c>
      <c r="AA246">
        <f t="shared" ca="1" si="89"/>
        <v>-39.086463184777216</v>
      </c>
      <c r="AB246">
        <f t="shared" ca="1" si="90"/>
        <v>-12.409033876353206</v>
      </c>
    </row>
    <row r="247" spans="1:28" x14ac:dyDescent="0.2">
      <c r="A247">
        <v>560000</v>
      </c>
      <c r="B247" t="str">
        <f t="shared" si="91"/>
        <v>560000i</v>
      </c>
      <c r="C247" t="str">
        <f t="shared" ca="1" si="77"/>
        <v>1+7.53445775191785i</v>
      </c>
      <c r="D247" t="str">
        <f t="shared" ca="1" si="78"/>
        <v>1+3.95555488095444i</v>
      </c>
      <c r="E247" t="str">
        <f t="shared" ca="1" si="79"/>
        <v>1+2559.62726912271i</v>
      </c>
      <c r="F247">
        <f t="shared" ca="1" si="80"/>
        <v>69.486139019499433</v>
      </c>
      <c r="G247" t="str">
        <f t="shared" ca="1" si="92"/>
        <v>0.311613565670446+0.782035024934377i</v>
      </c>
      <c r="H247">
        <f t="shared" ca="1" si="93"/>
        <v>-1.4954872377156747</v>
      </c>
      <c r="I247">
        <f t="shared" ca="1" si="94"/>
        <v>68.274450042590971</v>
      </c>
      <c r="K247" t="str">
        <f t="shared" ca="1" si="81"/>
        <v>1+7.53445775191785i</v>
      </c>
      <c r="L247" t="str">
        <f t="shared" ca="1" si="82"/>
        <v>1-2.07268984561297i</v>
      </c>
      <c r="M247" t="str">
        <f t="shared" ca="1" si="83"/>
        <v>1+2411.02648061371i</v>
      </c>
      <c r="N247" t="str">
        <f t="shared" si="84"/>
        <v>1+6.06783618487782i</v>
      </c>
      <c r="O247">
        <f t="shared" ca="1" si="85"/>
        <v>30.873410267617786</v>
      </c>
      <c r="P247" t="str">
        <f t="shared" ca="1" si="100"/>
        <v>-0.0322828390234508-0.0168609539282022i</v>
      </c>
      <c r="Q247">
        <f t="shared" ca="1" si="95"/>
        <v>-28.773014340210359</v>
      </c>
      <c r="R247">
        <f t="shared" ca="1" si="101"/>
        <v>-152.42245468307345</v>
      </c>
      <c r="T247" t="str">
        <f t="shared" si="86"/>
        <v>1+96.32i</v>
      </c>
      <c r="U247" t="str">
        <f t="shared" si="87"/>
        <v>1+5.6i</v>
      </c>
      <c r="V247" t="str">
        <f t="shared" si="88"/>
        <v>-0.000778654485049834i</v>
      </c>
      <c r="W247" t="str">
        <f t="shared" si="96"/>
        <v>0.00218292753039929-0.0130030486552858i</v>
      </c>
      <c r="X247">
        <f t="shared" si="97"/>
        <v>-37.598391773082028</v>
      </c>
      <c r="Y247">
        <f t="shared" si="98"/>
        <v>-80.470155182880575</v>
      </c>
      <c r="Z247">
        <f t="shared" si="99"/>
        <v>89126.768131461387</v>
      </c>
      <c r="AA247">
        <f t="shared" ca="1" si="89"/>
        <v>-39.0938790107977</v>
      </c>
      <c r="AB247">
        <f t="shared" ca="1" si="90"/>
        <v>-12.195705140289604</v>
      </c>
    </row>
    <row r="248" spans="1:28" x14ac:dyDescent="0.2">
      <c r="A248">
        <v>570000</v>
      </c>
      <c r="B248" t="str">
        <f t="shared" si="91"/>
        <v>570000i</v>
      </c>
      <c r="C248" t="str">
        <f t="shared" ca="1" si="77"/>
        <v>1+7.66900164034496i</v>
      </c>
      <c r="D248" t="str">
        <f t="shared" ca="1" si="78"/>
        <v>1+4.02618978954291i</v>
      </c>
      <c r="E248" t="str">
        <f t="shared" ca="1" si="79"/>
        <v>1+2605.33489892847i</v>
      </c>
      <c r="F248">
        <f t="shared" ca="1" si="80"/>
        <v>69.486139019499433</v>
      </c>
      <c r="G248" t="str">
        <f t="shared" ca="1" si="92"/>
        <v>0.311613198454612+0.796956656323357i</v>
      </c>
      <c r="H248">
        <f t="shared" ca="1" si="93"/>
        <v>-1.3534495074539323</v>
      </c>
      <c r="I248">
        <f t="shared" ca="1" si="94"/>
        <v>68.644305448340972</v>
      </c>
      <c r="K248" t="str">
        <f t="shared" ca="1" si="81"/>
        <v>1+7.66900164034496i</v>
      </c>
      <c r="L248" t="str">
        <f t="shared" ca="1" si="82"/>
        <v>1-2.10970216428463i</v>
      </c>
      <c r="M248" t="str">
        <f t="shared" ca="1" si="83"/>
        <v>1+2454.08052491039i</v>
      </c>
      <c r="N248" t="str">
        <f t="shared" si="84"/>
        <v>1+6.17619040246493i</v>
      </c>
      <c r="O248">
        <f t="shared" ca="1" si="85"/>
        <v>30.873410267617786</v>
      </c>
      <c r="P248" t="str">
        <f t="shared" ca="1" si="100"/>
        <v>-0.0323056596980574-0.0165688128221901i</v>
      </c>
      <c r="Q248">
        <f t="shared" ca="1" si="95"/>
        <v>-28.800248843311639</v>
      </c>
      <c r="R248">
        <f t="shared" ca="1" si="101"/>
        <v>-152.8477796797971</v>
      </c>
      <c r="T248" t="str">
        <f t="shared" si="86"/>
        <v>1+98.04i</v>
      </c>
      <c r="U248" t="str">
        <f t="shared" si="87"/>
        <v>1+5.7i</v>
      </c>
      <c r="V248" t="str">
        <f t="shared" si="88"/>
        <v>-0.00076499388004896i</v>
      </c>
      <c r="W248" t="str">
        <f t="shared" si="96"/>
        <v>0.0021092724659218-0.0127878469358032i</v>
      </c>
      <c r="X248">
        <f t="shared" si="97"/>
        <v>-37.747474398317372</v>
      </c>
      <c r="Y248">
        <f t="shared" si="98"/>
        <v>-80.63376532195521</v>
      </c>
      <c r="Z248">
        <f t="shared" si="99"/>
        <v>90718.31756238034</v>
      </c>
      <c r="AA248">
        <f t="shared" ca="1" si="89"/>
        <v>-39.100923905771303</v>
      </c>
      <c r="AB248">
        <f t="shared" ca="1" si="90"/>
        <v>-11.989459873614237</v>
      </c>
    </row>
    <row r="249" spans="1:28" x14ac:dyDescent="0.2">
      <c r="A249">
        <v>580000</v>
      </c>
      <c r="B249" t="str">
        <f t="shared" si="91"/>
        <v>580000i</v>
      </c>
      <c r="C249" t="str">
        <f t="shared" ca="1" si="77"/>
        <v>1+7.80354552877206i</v>
      </c>
      <c r="D249" t="str">
        <f t="shared" ca="1" si="78"/>
        <v>1+4.09682469813138i</v>
      </c>
      <c r="E249" t="str">
        <f t="shared" ca="1" si="79"/>
        <v>1+2651.04252873424i</v>
      </c>
      <c r="F249">
        <f t="shared" ca="1" si="80"/>
        <v>69.486139019499433</v>
      </c>
      <c r="G249" t="str">
        <f t="shared" ca="1" si="92"/>
        <v>0.311612850068471+0.81186193852053i</v>
      </c>
      <c r="H249">
        <f t="shared" ca="1" si="93"/>
        <v>-1.213504766264343</v>
      </c>
      <c r="I249">
        <f t="shared" ca="1" si="94"/>
        <v>69.001952931886748</v>
      </c>
      <c r="K249" t="str">
        <f t="shared" ca="1" si="81"/>
        <v>1+7.80354552877206i</v>
      </c>
      <c r="L249" t="str">
        <f t="shared" ca="1" si="82"/>
        <v>1-2.14671448295629i</v>
      </c>
      <c r="M249" t="str">
        <f t="shared" ca="1" si="83"/>
        <v>1+2497.13456920706i</v>
      </c>
      <c r="N249" t="str">
        <f t="shared" si="84"/>
        <v>1+6.28454462005203i</v>
      </c>
      <c r="O249">
        <f t="shared" ca="1" si="85"/>
        <v>30.873410267617786</v>
      </c>
      <c r="P249" t="str">
        <f t="shared" ca="1" si="100"/>
        <v>-0.0323273487544249-0.0162865669874732i</v>
      </c>
      <c r="Q249">
        <f t="shared" ca="1" si="95"/>
        <v>-28.826260301285682</v>
      </c>
      <c r="R249">
        <f t="shared" ca="1" si="101"/>
        <v>-153.26096571793454</v>
      </c>
      <c r="T249" t="str">
        <f t="shared" si="86"/>
        <v>1+99.76i</v>
      </c>
      <c r="U249" t="str">
        <f t="shared" si="87"/>
        <v>1+5.8i</v>
      </c>
      <c r="V249" t="str">
        <f t="shared" si="88"/>
        <v>-0.000751804330392943i</v>
      </c>
      <c r="W249" t="str">
        <f t="shared" si="96"/>
        <v>0.00203924754283259-0.012579440078822i</v>
      </c>
      <c r="X249">
        <f t="shared" si="97"/>
        <v>-37.894117200917925</v>
      </c>
      <c r="Y249">
        <f t="shared" si="98"/>
        <v>-80.791909934602344</v>
      </c>
      <c r="Z249">
        <f t="shared" si="99"/>
        <v>92309.866993299293</v>
      </c>
      <c r="AA249">
        <f t="shared" ca="1" si="89"/>
        <v>-39.107621967182268</v>
      </c>
      <c r="AB249">
        <f t="shared" ca="1" si="90"/>
        <v>-11.789957002715596</v>
      </c>
    </row>
    <row r="250" spans="1:28" x14ac:dyDescent="0.2">
      <c r="A250">
        <v>590000</v>
      </c>
      <c r="B250" t="str">
        <f t="shared" si="91"/>
        <v>590000i</v>
      </c>
      <c r="C250" t="str">
        <f t="shared" ca="1" si="77"/>
        <v>1+7.93808941719916i</v>
      </c>
      <c r="D250" t="str">
        <f t="shared" ca="1" si="78"/>
        <v>1+4.16745960671986i</v>
      </c>
      <c r="E250" t="str">
        <f t="shared" ca="1" si="79"/>
        <v>1+2696.75015854i</v>
      </c>
      <c r="F250">
        <f t="shared" ca="1" si="80"/>
        <v>69.486139019499433</v>
      </c>
      <c r="G250" t="str">
        <f t="shared" ca="1" si="92"/>
        <v>0.31161251924632+0.826751702840275i</v>
      </c>
      <c r="H250">
        <f t="shared" ca="1" si="93"/>
        <v>-1.0755991413813208</v>
      </c>
      <c r="I250">
        <f t="shared" ca="1" si="94"/>
        <v>69.347978976806246</v>
      </c>
      <c r="K250" t="str">
        <f t="shared" ca="1" si="81"/>
        <v>1+7.93808941719916i</v>
      </c>
      <c r="L250" t="str">
        <f t="shared" ca="1" si="82"/>
        <v>1-2.18372680162795i</v>
      </c>
      <c r="M250" t="str">
        <f t="shared" ca="1" si="83"/>
        <v>1+2540.18861350373i</v>
      </c>
      <c r="N250" t="str">
        <f t="shared" si="84"/>
        <v>1+6.39289883763914i</v>
      </c>
      <c r="O250">
        <f t="shared" ca="1" si="85"/>
        <v>30.873410267617786</v>
      </c>
      <c r="P250" t="str">
        <f t="shared" ca="1" si="100"/>
        <v>-0.0323479791918456-0.0160137245941069i</v>
      </c>
      <c r="Q250">
        <f t="shared" ca="1" si="95"/>
        <v>-28.851118718424718</v>
      </c>
      <c r="R250">
        <f t="shared" ca="1" si="101"/>
        <v>-153.66249177920542</v>
      </c>
      <c r="T250" t="str">
        <f t="shared" si="86"/>
        <v>1+101.48i</v>
      </c>
      <c r="U250" t="str">
        <f t="shared" si="87"/>
        <v>1+5.9i</v>
      </c>
      <c r="V250" t="str">
        <f t="shared" si="88"/>
        <v>-0.000739061884115097i</v>
      </c>
      <c r="W250" t="str">
        <f t="shared" si="96"/>
        <v>0.00197262035419494-0.0123775219738653i</v>
      </c>
      <c r="X250">
        <f t="shared" si="97"/>
        <v>-38.038396243539452</v>
      </c>
      <c r="Y250">
        <f t="shared" si="98"/>
        <v>-80.944855616372863</v>
      </c>
      <c r="Z250">
        <f t="shared" si="99"/>
        <v>93901.416424218245</v>
      </c>
      <c r="AA250">
        <f t="shared" ca="1" si="89"/>
        <v>-39.11399538492077</v>
      </c>
      <c r="AB250">
        <f t="shared" ca="1" si="90"/>
        <v>-11.596876639566617</v>
      </c>
    </row>
    <row r="251" spans="1:28" x14ac:dyDescent="0.2">
      <c r="A251">
        <v>600000</v>
      </c>
      <c r="B251" t="str">
        <f t="shared" si="91"/>
        <v>600000i</v>
      </c>
      <c r="C251" t="str">
        <f t="shared" ca="1" si="77"/>
        <v>1+8.07263330562627i</v>
      </c>
      <c r="D251" t="str">
        <f t="shared" ca="1" si="78"/>
        <v>1+4.23809451530833i</v>
      </c>
      <c r="E251" t="str">
        <f t="shared" ca="1" si="79"/>
        <v>1+2742.45778834576i</v>
      </c>
      <c r="F251">
        <f t="shared" ca="1" si="80"/>
        <v>69.486139019499433</v>
      </c>
      <c r="G251" t="str">
        <f t="shared" ca="1" si="92"/>
        <v>0.311612204827038+0.841626725176029i</v>
      </c>
      <c r="H251">
        <f t="shared" ca="1" si="93"/>
        <v>-0.93968040512619544</v>
      </c>
      <c r="I251">
        <f t="shared" ca="1" si="94"/>
        <v>69.682933588990679</v>
      </c>
      <c r="K251" t="str">
        <f t="shared" ca="1" si="81"/>
        <v>1+8.07263330562627i</v>
      </c>
      <c r="L251" t="str">
        <f t="shared" ca="1" si="82"/>
        <v>1-2.22073912029961i</v>
      </c>
      <c r="M251" t="str">
        <f t="shared" ca="1" si="83"/>
        <v>1+2583.24265780041i</v>
      </c>
      <c r="N251" t="str">
        <f t="shared" si="84"/>
        <v>1+6.50125305522624i</v>
      </c>
      <c r="O251">
        <f t="shared" ca="1" si="85"/>
        <v>30.873410267617786</v>
      </c>
      <c r="P251" t="str">
        <f t="shared" ca="1" si="100"/>
        <v>-0.0323676182642314-0.0157498257251494i</v>
      </c>
      <c r="Q251">
        <f t="shared" ca="1" si="95"/>
        <v>-28.87488930678397</v>
      </c>
      <c r="R251">
        <f t="shared" ca="1" si="101"/>
        <v>-154.05281387833818</v>
      </c>
      <c r="T251" t="str">
        <f t="shared" si="86"/>
        <v>1+103.2i</v>
      </c>
      <c r="U251" t="str">
        <f t="shared" si="87"/>
        <v>1+6i</v>
      </c>
      <c r="V251" t="str">
        <f t="shared" si="88"/>
        <v>-0.000726744186046512i</v>
      </c>
      <c r="W251" t="str">
        <f t="shared" si="96"/>
        <v>0.00190917661847894-0.0121818038969202i</v>
      </c>
      <c r="X251">
        <f t="shared" si="97"/>
        <v>-38.180384212922327</v>
      </c>
      <c r="Y251">
        <f t="shared" si="98"/>
        <v>-81.092852078402515</v>
      </c>
      <c r="Z251">
        <f t="shared" si="99"/>
        <v>95492.965855137212</v>
      </c>
      <c r="AA251">
        <f t="shared" ca="1" si="89"/>
        <v>-39.120064618048524</v>
      </c>
      <c r="AB251">
        <f t="shared" ca="1" si="90"/>
        <v>-11.409918489411837</v>
      </c>
    </row>
    <row r="252" spans="1:28" x14ac:dyDescent="0.2">
      <c r="A252">
        <v>610000</v>
      </c>
      <c r="B252" t="str">
        <f t="shared" si="91"/>
        <v>610000i</v>
      </c>
      <c r="C252" t="str">
        <f t="shared" ca="1" si="77"/>
        <v>1+8.20717719405337i</v>
      </c>
      <c r="D252" t="str">
        <f t="shared" ca="1" si="78"/>
        <v>1+4.3087294238968i</v>
      </c>
      <c r="E252" t="str">
        <f t="shared" ca="1" si="79"/>
        <v>1+2788.16541815153i</v>
      </c>
      <c r="F252">
        <f t="shared" ca="1" si="80"/>
        <v>69.486139019499433</v>
      </c>
      <c r="G252" t="str">
        <f t="shared" ca="1" si="92"/>
        <v>0.311611905743893+0.856487730543016i</v>
      </c>
      <c r="H252">
        <f t="shared" ca="1" si="93"/>
        <v>-0.80569794478274748</v>
      </c>
      <c r="I252">
        <f t="shared" ca="1" si="94"/>
        <v>70.007333051835445</v>
      </c>
      <c r="K252" t="str">
        <f t="shared" ca="1" si="81"/>
        <v>1+8.20717719405337i</v>
      </c>
      <c r="L252" t="str">
        <f t="shared" ca="1" si="82"/>
        <v>1-2.25775143897127i</v>
      </c>
      <c r="M252" t="str">
        <f t="shared" ca="1" si="83"/>
        <v>1+2626.29670209708i</v>
      </c>
      <c r="N252" t="str">
        <f t="shared" si="84"/>
        <v>1+6.60960727281334i</v>
      </c>
      <c r="O252">
        <f t="shared" ca="1" si="85"/>
        <v>30.873410267617786</v>
      </c>
      <c r="P252" t="str">
        <f t="shared" ca="1" si="100"/>
        <v>-0.0323863280098873-0.0154944398402191i</v>
      </c>
      <c r="Q252">
        <f t="shared" ca="1" si="95"/>
        <v>-28.897632863020814</v>
      </c>
      <c r="R252">
        <f t="shared" ca="1" si="101"/>
        <v>-154.43236628591842</v>
      </c>
      <c r="T252" t="str">
        <f t="shared" si="86"/>
        <v>1+104.92i</v>
      </c>
      <c r="U252" t="str">
        <f t="shared" si="87"/>
        <v>1+6.1i</v>
      </c>
      <c r="V252" t="str">
        <f t="shared" si="88"/>
        <v>-0.000714830346930995i</v>
      </c>
      <c r="W252" t="str">
        <f t="shared" si="96"/>
        <v>0.00184871852613768-0.0119920133563709i</v>
      </c>
      <c r="X252">
        <f t="shared" si="97"/>
        <v>-38.320150608128323</v>
      </c>
      <c r="Y252">
        <f t="shared" si="98"/>
        <v>-81.236133449358505</v>
      </c>
      <c r="Z252">
        <f t="shared" si="99"/>
        <v>97084.515286056165</v>
      </c>
      <c r="AA252">
        <f t="shared" ca="1" si="89"/>
        <v>-39.125848552911073</v>
      </c>
      <c r="AB252">
        <f t="shared" ca="1" si="90"/>
        <v>-11.228800397523059</v>
      </c>
    </row>
    <row r="253" spans="1:28" x14ac:dyDescent="0.2">
      <c r="A253">
        <v>620000</v>
      </c>
      <c r="B253" t="str">
        <f t="shared" si="91"/>
        <v>620000i</v>
      </c>
      <c r="C253" t="str">
        <f t="shared" ca="1" si="77"/>
        <v>1+8.34172108248048i</v>
      </c>
      <c r="D253" t="str">
        <f t="shared" ca="1" si="78"/>
        <v>1+4.37936433248527i</v>
      </c>
      <c r="E253" t="str">
        <f t="shared" ca="1" si="79"/>
        <v>1+2833.87304795729i</v>
      </c>
      <c r="F253">
        <f t="shared" ca="1" si="80"/>
        <v>69.486139019499433</v>
      </c>
      <c r="G253" t="str">
        <f t="shared" ca="1" si="92"/>
        <v>0.311611621015482+0.871335397181324i</v>
      </c>
      <c r="H253">
        <f t="shared" ca="1" si="93"/>
        <v>-0.67360272820559952</v>
      </c>
      <c r="I253">
        <f t="shared" ca="1" si="94"/>
        <v>70.321662438744113</v>
      </c>
      <c r="K253" t="str">
        <f t="shared" ca="1" si="81"/>
        <v>1+8.34172108248048i</v>
      </c>
      <c r="L253" t="str">
        <f t="shared" ca="1" si="82"/>
        <v>1-2.29476375764293i</v>
      </c>
      <c r="M253" t="str">
        <f t="shared" ca="1" si="83"/>
        <v>1+2669.35074639375i</v>
      </c>
      <c r="N253" t="str">
        <f t="shared" si="84"/>
        <v>1+6.71796149040045i</v>
      </c>
      <c r="O253">
        <f t="shared" ca="1" si="85"/>
        <v>30.873410267617786</v>
      </c>
      <c r="P253" t="str">
        <f t="shared" ca="1" si="100"/>
        <v>-0.0324041657256319-0.0152471634763153i</v>
      </c>
      <c r="Q253">
        <f t="shared" ca="1" si="95"/>
        <v>-28.919406112137239</v>
      </c>
      <c r="R253">
        <f t="shared" ca="1" si="101"/>
        <v>-154.8015626861644</v>
      </c>
      <c r="T253" t="str">
        <f t="shared" si="86"/>
        <v>1+106.64i</v>
      </c>
      <c r="U253" t="str">
        <f t="shared" si="87"/>
        <v>1+6.2i</v>
      </c>
      <c r="V253" t="str">
        <f t="shared" si="88"/>
        <v>-0.000703300825206302i</v>
      </c>
      <c r="W253" t="str">
        <f t="shared" si="96"/>
        <v>0.00179106325770083-0.0118078930229515i</v>
      </c>
      <c r="X253">
        <f t="shared" si="97"/>
        <v>-38.457761916589483</v>
      </c>
      <c r="Y253">
        <f t="shared" si="98"/>
        <v>-81.374919460043387</v>
      </c>
      <c r="Z253">
        <f t="shared" si="99"/>
        <v>98676.064716975117</v>
      </c>
      <c r="AA253">
        <f t="shared" ca="1" si="89"/>
        <v>-39.131364644795084</v>
      </c>
      <c r="AB253">
        <f t="shared" ca="1" si="90"/>
        <v>-11.053257021299274</v>
      </c>
    </row>
    <row r="254" spans="1:28" x14ac:dyDescent="0.2">
      <c r="A254">
        <v>630000</v>
      </c>
      <c r="B254" t="str">
        <f t="shared" si="91"/>
        <v>630000i</v>
      </c>
      <c r="C254" t="str">
        <f t="shared" ca="1" si="77"/>
        <v>1+8.47626497090758i</v>
      </c>
      <c r="D254" t="str">
        <f t="shared" ca="1" si="78"/>
        <v>1+4.44999924107375i</v>
      </c>
      <c r="E254" t="str">
        <f t="shared" ca="1" si="79"/>
        <v>1+2879.58067776305i</v>
      </c>
      <c r="F254">
        <f t="shared" ca="1" si="80"/>
        <v>69.486139019499433</v>
      </c>
      <c r="G254" t="str">
        <f t="shared" ca="1" si="92"/>
        <v>0.311611349737666+0.886170360268189i</v>
      </c>
      <c r="H254">
        <f t="shared" ca="1" si="93"/>
        <v>-0.54334726621951923</v>
      </c>
      <c r="I254">
        <f t="shared" ca="1" si="94"/>
        <v>70.626377907185386</v>
      </c>
      <c r="K254" t="str">
        <f t="shared" ca="1" si="81"/>
        <v>1+8.47626497090758i</v>
      </c>
      <c r="L254" t="str">
        <f t="shared" ca="1" si="82"/>
        <v>1-2.33177607631459i</v>
      </c>
      <c r="M254" t="str">
        <f t="shared" ca="1" si="83"/>
        <v>1+2712.40479069043i</v>
      </c>
      <c r="N254" t="str">
        <f t="shared" si="84"/>
        <v>1+6.82631570798755i</v>
      </c>
      <c r="O254">
        <f t="shared" ca="1" si="85"/>
        <v>30.873410267617786</v>
      </c>
      <c r="P254" t="str">
        <f t="shared" ca="1" si="100"/>
        <v>-0.0324211843917954-0.0150076181604858i</v>
      </c>
      <c r="Q254">
        <f t="shared" ca="1" si="95"/>
        <v>-28.940262021304385</v>
      </c>
      <c r="R254">
        <f t="shared" ca="1" si="101"/>
        <v>-155.16079727228285</v>
      </c>
      <c r="T254" t="str">
        <f t="shared" si="86"/>
        <v>1+108.36i</v>
      </c>
      <c r="U254" t="str">
        <f t="shared" si="87"/>
        <v>1+6.3i</v>
      </c>
      <c r="V254" t="str">
        <f t="shared" si="88"/>
        <v>-0.000692137320044297i</v>
      </c>
      <c r="W254" t="str">
        <f t="shared" si="96"/>
        <v>0.00173604165356896-0.0116291997375287i</v>
      </c>
      <c r="X254">
        <f t="shared" si="97"/>
        <v>-38.593281778822927</v>
      </c>
      <c r="Y254">
        <f t="shared" si="98"/>
        <v>-81.509416522672339</v>
      </c>
      <c r="Z254">
        <f t="shared" si="99"/>
        <v>100267.61414789407</v>
      </c>
      <c r="AA254">
        <f t="shared" ca="1" si="89"/>
        <v>-39.136629045042447</v>
      </c>
      <c r="AB254">
        <f t="shared" ca="1" si="90"/>
        <v>-10.883038615486953</v>
      </c>
    </row>
    <row r="255" spans="1:28" x14ac:dyDescent="0.2">
      <c r="A255">
        <v>640000</v>
      </c>
      <c r="B255" t="str">
        <f t="shared" si="91"/>
        <v>640000i</v>
      </c>
      <c r="C255" t="str">
        <f t="shared" ca="1" si="77"/>
        <v>1+8.61080885933469i</v>
      </c>
      <c r="D255" t="str">
        <f t="shared" ca="1" si="78"/>
        <v>1+4.52063414966222i</v>
      </c>
      <c r="E255" t="str">
        <f t="shared" ca="1" si="79"/>
        <v>1+2925.28830756881i</v>
      </c>
      <c r="F255">
        <f t="shared" ca="1" si="80"/>
        <v>69.486139019499433</v>
      </c>
      <c r="G255" t="str">
        <f t="shared" ca="1" si="92"/>
        <v>0.311611091076386+0.900993215282295i</v>
      </c>
      <c r="H255">
        <f t="shared" ca="1" si="93"/>
        <v>-0.41488557268131565</v>
      </c>
      <c r="I255">
        <f t="shared" ca="1" si="94"/>
        <v>70.921908795855785</v>
      </c>
      <c r="K255" t="str">
        <f t="shared" ca="1" si="81"/>
        <v>1+8.61080885933469i</v>
      </c>
      <c r="L255" t="str">
        <f t="shared" ca="1" si="82"/>
        <v>1-2.36878839498625i</v>
      </c>
      <c r="M255" t="str">
        <f t="shared" ca="1" si="83"/>
        <v>1+2755.4588349871i</v>
      </c>
      <c r="N255" t="str">
        <f t="shared" si="84"/>
        <v>1+6.93466992557466i</v>
      </c>
      <c r="O255">
        <f t="shared" ca="1" si="85"/>
        <v>30.873410267617786</v>
      </c>
      <c r="P255" t="str">
        <f t="shared" ca="1" si="100"/>
        <v>-0.0324374330537721-0.0147754485119804i</v>
      </c>
      <c r="Q255">
        <f t="shared" ca="1" si="95"/>
        <v>-28.960250086621798</v>
      </c>
      <c r="R255">
        <f t="shared" ca="1" si="101"/>
        <v>-155.5104457821258</v>
      </c>
      <c r="T255" t="str">
        <f t="shared" si="86"/>
        <v>1+110.08i</v>
      </c>
      <c r="U255" t="str">
        <f t="shared" si="87"/>
        <v>1+6.4i</v>
      </c>
      <c r="V255" t="str">
        <f t="shared" si="88"/>
        <v>-0.000681322674418605i</v>
      </c>
      <c r="W255" t="str">
        <f t="shared" si="96"/>
        <v>0.00168349701820117-0.0114557035909061i</v>
      </c>
      <c r="X255">
        <f t="shared" si="97"/>
        <v>-38.72677114260734</v>
      </c>
      <c r="Y255">
        <f t="shared" si="98"/>
        <v>-81.639818715471165</v>
      </c>
      <c r="Z255">
        <f t="shared" si="99"/>
        <v>101859.16357881302</v>
      </c>
      <c r="AA255">
        <f t="shared" ca="1" si="89"/>
        <v>-39.141656715288654</v>
      </c>
      <c r="AB255">
        <f t="shared" ca="1" si="90"/>
        <v>-10.71790991961538</v>
      </c>
    </row>
    <row r="256" spans="1:28" x14ac:dyDescent="0.2">
      <c r="A256">
        <v>650000</v>
      </c>
      <c r="B256" t="str">
        <f t="shared" si="91"/>
        <v>650000i</v>
      </c>
      <c r="C256" t="str">
        <f t="shared" ca="1" si="77"/>
        <v>1+8.74535274776179i</v>
      </c>
      <c r="D256" t="str">
        <f t="shared" ca="1" si="78"/>
        <v>1+4.59126905825069i</v>
      </c>
      <c r="E256" t="str">
        <f t="shared" ca="1" si="79"/>
        <v>1+2970.99593737458i</v>
      </c>
      <c r="F256">
        <f t="shared" ca="1" si="80"/>
        <v>69.486139019499433</v>
      </c>
      <c r="G256" t="str">
        <f t="shared" ca="1" si="92"/>
        <v>0.311610844261242+0.915804521057515i</v>
      </c>
      <c r="H256">
        <f t="shared" ca="1" si="93"/>
        <v>-0.28817312292230257</v>
      </c>
      <c r="I256">
        <f t="shared" ca="1" si="94"/>
        <v>71.208659544134477</v>
      </c>
      <c r="K256" t="str">
        <f t="shared" ca="1" si="81"/>
        <v>1+8.74535274776179i</v>
      </c>
      <c r="L256" t="str">
        <f t="shared" ca="1" si="82"/>
        <v>1-2.40580071365791i</v>
      </c>
      <c r="M256" t="str">
        <f t="shared" ca="1" si="83"/>
        <v>1+2798.51287928377i</v>
      </c>
      <c r="N256" t="str">
        <f t="shared" si="84"/>
        <v>1+7.04302414316176i</v>
      </c>
      <c r="O256">
        <f t="shared" ca="1" si="85"/>
        <v>30.873410267617786</v>
      </c>
      <c r="P256" t="str">
        <f t="shared" ca="1" si="100"/>
        <v>-0.0324529571650927-0.0145503205141812i</v>
      </c>
      <c r="Q256">
        <f t="shared" ca="1" si="95"/>
        <v>-28.979416595368768</v>
      </c>
      <c r="R256">
        <f t="shared" ca="1" si="101"/>
        <v>-155.85086647690474</v>
      </c>
      <c r="T256" t="str">
        <f t="shared" si="86"/>
        <v>1+111.8i</v>
      </c>
      <c r="U256" t="str">
        <f t="shared" si="87"/>
        <v>1+6.5i</v>
      </c>
      <c r="V256" t="str">
        <f t="shared" si="88"/>
        <v>-0.000670840787119857i</v>
      </c>
      <c r="W256" t="str">
        <f t="shared" si="96"/>
        <v>0.00163328404355424-0.0112871870702224i</v>
      </c>
      <c r="X256">
        <f t="shared" si="97"/>
        <v>-38.858288407361826</v>
      </c>
      <c r="Y256">
        <f t="shared" si="98"/>
        <v>-81.766308682042919</v>
      </c>
      <c r="Z256">
        <f t="shared" si="99"/>
        <v>103450.71300973198</v>
      </c>
      <c r="AA256">
        <f t="shared" ca="1" si="89"/>
        <v>-39.146461530284128</v>
      </c>
      <c r="AB256">
        <f t="shared" ca="1" si="90"/>
        <v>-10.557649137908442</v>
      </c>
    </row>
    <row r="257" spans="1:28" x14ac:dyDescent="0.2">
      <c r="A257">
        <v>660000</v>
      </c>
      <c r="B257" t="str">
        <f t="shared" si="91"/>
        <v>660000i</v>
      </c>
      <c r="C257" t="str">
        <f t="shared" ca="1" si="77"/>
        <v>1+8.8798966361889i</v>
      </c>
      <c r="D257" t="str">
        <f t="shared" ca="1" si="78"/>
        <v>1+4.66190396683916i</v>
      </c>
      <c r="E257" t="str">
        <f t="shared" ca="1" si="79"/>
        <v>1+3016.70356718034i</v>
      </c>
      <c r="F257">
        <f t="shared" ca="1" si="80"/>
        <v>69.486139019499433</v>
      </c>
      <c r="G257" t="str">
        <f t="shared" ca="1" si="92"/>
        <v>0.311610608579757+0.930604802559019i</v>
      </c>
      <c r="H257">
        <f t="shared" ca="1" si="93"/>
        <v>-0.16316681115977277</v>
      </c>
      <c r="I257">
        <f t="shared" ca="1" si="94"/>
        <v>71.487011450938454</v>
      </c>
      <c r="K257" t="str">
        <f t="shared" ca="1" si="81"/>
        <v>1+8.8798966361889i</v>
      </c>
      <c r="L257" t="str">
        <f t="shared" ca="1" si="82"/>
        <v>1-2.44281303232957i</v>
      </c>
      <c r="M257" t="str">
        <f t="shared" ca="1" si="83"/>
        <v>1+2841.56692358045i</v>
      </c>
      <c r="N257" t="str">
        <f t="shared" si="84"/>
        <v>1+7.15137836074886i</v>
      </c>
      <c r="O257">
        <f t="shared" ca="1" si="85"/>
        <v>30.873410267617786</v>
      </c>
      <c r="P257" t="str">
        <f t="shared" ca="1" si="100"/>
        <v>-0.0324677988963541-0.0143319199389031i</v>
      </c>
      <c r="Q257">
        <f t="shared" ca="1" si="95"/>
        <v>-28.997804866045335</v>
      </c>
      <c r="R257">
        <f t="shared" ca="1" si="101"/>
        <v>-156.18240106570786</v>
      </c>
      <c r="T257" t="str">
        <f t="shared" si="86"/>
        <v>1+113.52i</v>
      </c>
      <c r="U257" t="str">
        <f t="shared" si="87"/>
        <v>1+6.6i</v>
      </c>
      <c r="V257" t="str">
        <f t="shared" si="88"/>
        <v>-0.000660676532769556i</v>
      </c>
      <c r="W257" t="str">
        <f t="shared" si="96"/>
        <v>0.00158526783850361-0.0111234442668934i</v>
      </c>
      <c r="X257">
        <f t="shared" si="97"/>
        <v>-38.987889559412999</v>
      </c>
      <c r="Y257">
        <f t="shared" si="98"/>
        <v>-81.889058453903075</v>
      </c>
      <c r="Z257">
        <f t="shared" si="99"/>
        <v>105042.26244065093</v>
      </c>
      <c r="AA257">
        <f t="shared" ca="1" si="89"/>
        <v>-39.151056370572775</v>
      </c>
      <c r="AB257">
        <f t="shared" ca="1" si="90"/>
        <v>-10.402047002964622</v>
      </c>
    </row>
    <row r="258" spans="1:28" x14ac:dyDescent="0.2">
      <c r="A258">
        <v>670000</v>
      </c>
      <c r="B258" t="str">
        <f t="shared" si="91"/>
        <v>670000i</v>
      </c>
      <c r="C258" t="str">
        <f t="shared" ref="C258:C321" ca="1" si="102">IMSUM(1,IMDIV(B258,CcmWz1))</f>
        <v>1+9.014440524616i</v>
      </c>
      <c r="D258" t="str">
        <f t="shared" ref="D258:D321" ca="1" si="103">IMSUM(1,IMDIV(B258,CcmWz2))</f>
        <v>1+4.73253887542763i</v>
      </c>
      <c r="E258" t="str">
        <f t="shared" ref="E258:E321" ca="1" si="104">IMSUM(1,IMDIV(B258,CcmWp1))</f>
        <v>1+3062.4111969861i</v>
      </c>
      <c r="F258">
        <f t="shared" ref="F258:F321" ca="1" si="105">CcmGo</f>
        <v>69.486139019499433</v>
      </c>
      <c r="G258" t="str">
        <f t="shared" ca="1" si="92"/>
        <v>0.311610383372219+0.945394553410782i</v>
      </c>
      <c r="H258">
        <f t="shared" ca="1" si="93"/>
        <v>-3.9824907358355754E-2</v>
      </c>
      <c r="I258">
        <f t="shared" ca="1" si="94"/>
        <v>71.757324288253969</v>
      </c>
      <c r="K258" t="str">
        <f t="shared" ref="K258:K321" ca="1" si="106">IMSUM(1,IMDIV(B258,DcmWz1))</f>
        <v>1+9.014440524616i</v>
      </c>
      <c r="L258" t="str">
        <f t="shared" ref="L258:L321" ca="1" si="107">IMSUB(1,IMDIV($B258,DcmWz2))</f>
        <v>1-2.47982535100123i</v>
      </c>
      <c r="M258" t="str">
        <f t="shared" ref="M258:M321" ca="1" si="108">IMSUM(1,IMDIV($B258,DcmWp1))</f>
        <v>1+2884.62096787712i</v>
      </c>
      <c r="N258" t="str">
        <f t="shared" ref="N258:N321" si="109">IMSUM(1,IMDIV($B258,DcmWp2))</f>
        <v>1+7.25973257833597i</v>
      </c>
      <c r="O258">
        <f t="shared" ref="O258:O321" ca="1" si="110">DcmGo</f>
        <v>30.873410267617786</v>
      </c>
      <c r="P258" t="str">
        <f t="shared" ca="1" si="100"/>
        <v>-0.0324819974138052-0.0141199509076636i</v>
      </c>
      <c r="Q258">
        <f t="shared" ca="1" si="95"/>
        <v>-29.015455468268097</v>
      </c>
      <c r="R258">
        <f t="shared" ca="1" si="101"/>
        <v>-156.50537557852985</v>
      </c>
      <c r="T258" t="str">
        <f t="shared" ref="T258:T321" si="111">IMSUM(1,IMPRODUCT($B258,1/CompWz1))</f>
        <v>1+115.24i</v>
      </c>
      <c r="U258" t="str">
        <f t="shared" ref="U258:U321" si="112">IMSUM(1,IMPRODUCT($B258,1/CompWp1))</f>
        <v>1+6.7i</v>
      </c>
      <c r="V258" t="str">
        <f t="shared" ref="V258:V321" si="113">IMDIV(CompA,$B258)</f>
        <v>-0.000650815688996876i</v>
      </c>
      <c r="W258" t="str">
        <f t="shared" si="96"/>
        <v>0.00153932305259797-0.0109642801414033i</v>
      </c>
      <c r="X258">
        <f t="shared" si="97"/>
        <v>-39.11562829879044</v>
      </c>
      <c r="Y258">
        <f t="shared" si="98"/>
        <v>-82.008230203657675</v>
      </c>
      <c r="Z258">
        <f t="shared" si="99"/>
        <v>106633.81187156988</v>
      </c>
      <c r="AA258">
        <f t="shared" ref="AA258:AA321" ca="1" si="114">IF(IsDcmBode, X258+Q258,X258+H258)</f>
        <v>-39.155453206148799</v>
      </c>
      <c r="AB258">
        <f t="shared" ref="AB258:AB321" ca="1" si="115">IF(IsDcmBode, Y258+R258,Y258+I258)</f>
        <v>-10.250905915403706</v>
      </c>
    </row>
    <row r="259" spans="1:28" x14ac:dyDescent="0.2">
      <c r="A259">
        <v>680000</v>
      </c>
      <c r="B259" t="str">
        <f t="shared" ref="B259:B322" si="116">COMPLEX(0,A259)</f>
        <v>680000i</v>
      </c>
      <c r="C259" t="str">
        <f t="shared" ca="1" si="102"/>
        <v>1+9.1489844130431i</v>
      </c>
      <c r="D259" t="str">
        <f t="shared" ca="1" si="103"/>
        <v>1+4.80317378401611i</v>
      </c>
      <c r="E259" t="str">
        <f t="shared" ca="1" si="104"/>
        <v>1+3108.11882679186i</v>
      </c>
      <c r="F259">
        <f t="shared" ca="1" si="105"/>
        <v>69.486139019499433</v>
      </c>
      <c r="G259" t="str">
        <f t="shared" ref="G259:G322" ca="1" si="117">IMDIV(IMPRODUCT(F259,C259,D259),E259)</f>
        <v>0.311610168027068+0.960174238200105i</v>
      </c>
      <c r="H259">
        <f t="shared" ref="H259:H322" ca="1" si="118">20*LOG(IMABS(G259),10)</f>
        <v>8.1892986067829479E-2</v>
      </c>
      <c r="I259">
        <f t="shared" ref="I259:I322" ca="1" si="119">IMARGUMENT(G259)*180/PI()</f>
        <v>72.0199377830006</v>
      </c>
      <c r="K259" t="str">
        <f t="shared" ca="1" si="106"/>
        <v>1+9.1489844130431i</v>
      </c>
      <c r="L259" t="str">
        <f t="shared" ca="1" si="107"/>
        <v>1-2.51683766967289i</v>
      </c>
      <c r="M259" t="str">
        <f t="shared" ca="1" si="108"/>
        <v>1+2927.67501217379i</v>
      </c>
      <c r="N259" t="str">
        <f t="shared" si="109"/>
        <v>1+7.36808679592307i</v>
      </c>
      <c r="O259">
        <f t="shared" ca="1" si="110"/>
        <v>30.873410267617786</v>
      </c>
      <c r="P259" t="str">
        <f t="shared" ca="1" si="100"/>
        <v>-0.0324955891309243-0.0139141345762694i</v>
      </c>
      <c r="Q259">
        <f t="shared" ref="Q259:Q322" ca="1" si="120">20*LOG(IMABS(P259),10)</f>
        <v>-29.032406424378387</v>
      </c>
      <c r="R259">
        <f t="shared" ca="1" si="101"/>
        <v>-156.82010119046996</v>
      </c>
      <c r="T259" t="str">
        <f t="shared" si="111"/>
        <v>1+116.96i</v>
      </c>
      <c r="U259" t="str">
        <f t="shared" si="112"/>
        <v>1+6.8i</v>
      </c>
      <c r="V259" t="str">
        <f t="shared" si="113"/>
        <v>-0.00064124487004104i</v>
      </c>
      <c r="W259" t="str">
        <f t="shared" ref="W259:W322" si="121">IMDIV(IMPRODUCT(V259,T259),U259)</f>
        <v>0.00149533308390603-0.0108095098406021i</v>
      </c>
      <c r="X259">
        <f t="shared" ref="X259:X322" si="122">20*LOG(IMABS(W259),10)</f>
        <v>-39.241556158140078</v>
      </c>
      <c r="Y259">
        <f t="shared" ref="Y259:Y322" si="123">IMARGUMENT(W259)*180/PI()</f>
        <v>-82.123976935489921</v>
      </c>
      <c r="Z259">
        <f t="shared" ref="Z259:Z322" si="124">A259/(2*PI())</f>
        <v>108225.36130248883</v>
      </c>
      <c r="AA259">
        <f t="shared" ca="1" si="114"/>
        <v>-39.15966317207225</v>
      </c>
      <c r="AB259">
        <f t="shared" ca="1" si="115"/>
        <v>-10.104039152489321</v>
      </c>
    </row>
    <row r="260" spans="1:28" x14ac:dyDescent="0.2">
      <c r="A260">
        <v>690000</v>
      </c>
      <c r="B260" t="str">
        <f t="shared" si="116"/>
        <v>690000i</v>
      </c>
      <c r="C260" t="str">
        <f t="shared" ca="1" si="102"/>
        <v>1+9.28352830147021i</v>
      </c>
      <c r="D260" t="str">
        <f t="shared" ca="1" si="103"/>
        <v>1+4.87380869260458i</v>
      </c>
      <c r="E260" t="str">
        <f t="shared" ca="1" si="104"/>
        <v>1+3153.82645659763i</v>
      </c>
      <c r="F260">
        <f t="shared" ca="1" si="105"/>
        <v>69.486139019499433</v>
      </c>
      <c r="G260" t="str">
        <f t="shared" ca="1" si="117"/>
        <v>0.311609961976733+0.974944294581683i</v>
      </c>
      <c r="H260">
        <f t="shared" ca="1" si="118"/>
        <v>0.20202597739464945</v>
      </c>
      <c r="I260">
        <f t="shared" ca="1" si="119"/>
        <v>72.275172979454581</v>
      </c>
      <c r="K260" t="str">
        <f t="shared" ca="1" si="106"/>
        <v>1+9.28352830147021i</v>
      </c>
      <c r="L260" t="str">
        <f t="shared" ca="1" si="107"/>
        <v>1-2.55384998834455i</v>
      </c>
      <c r="M260" t="str">
        <f t="shared" ca="1" si="108"/>
        <v>1+2970.72905647047i</v>
      </c>
      <c r="N260" t="str">
        <f t="shared" si="109"/>
        <v>1+7.47644101351018i</v>
      </c>
      <c r="O260">
        <f t="shared" ca="1" si="110"/>
        <v>30.873410267617786</v>
      </c>
      <c r="P260" t="str">
        <f t="shared" ca="1" si="100"/>
        <v>-0.0325086079359179-0.0137142079305968i</v>
      </c>
      <c r="Q260">
        <f t="shared" ca="1" si="120"/>
        <v>-29.048693394435325</v>
      </c>
      <c r="R260">
        <f t="shared" ca="1" si="101"/>
        <v>-157.1268749996801</v>
      </c>
      <c r="T260" t="str">
        <f t="shared" si="111"/>
        <v>1+118.68i</v>
      </c>
      <c r="U260" t="str">
        <f t="shared" si="112"/>
        <v>1+6.9i</v>
      </c>
      <c r="V260" t="str">
        <f t="shared" si="113"/>
        <v>-0.000631951466127401i</v>
      </c>
      <c r="W260" t="str">
        <f t="shared" si="121"/>
        <v>0.00145318936193625-0.0106589580634875i</v>
      </c>
      <c r="X260">
        <f t="shared" si="122"/>
        <v>-39.365722614305362</v>
      </c>
      <c r="Y260">
        <f t="shared" si="123"/>
        <v>-82.236443118903864</v>
      </c>
      <c r="Z260">
        <f t="shared" si="124"/>
        <v>109816.91073340779</v>
      </c>
      <c r="AA260">
        <f t="shared" ca="1" si="114"/>
        <v>-39.163696636910714</v>
      </c>
      <c r="AB260">
        <f t="shared" ca="1" si="115"/>
        <v>-9.9612701394492831</v>
      </c>
    </row>
    <row r="261" spans="1:28" x14ac:dyDescent="0.2">
      <c r="A261">
        <v>700000</v>
      </c>
      <c r="B261" t="str">
        <f t="shared" si="116"/>
        <v>700000i</v>
      </c>
      <c r="C261" t="str">
        <f t="shared" ca="1" si="102"/>
        <v>1+9.41807218989731i</v>
      </c>
      <c r="D261" t="str">
        <f t="shared" ca="1" si="103"/>
        <v>1+4.94444360119305i</v>
      </c>
      <c r="E261" t="str">
        <f t="shared" ca="1" si="104"/>
        <v>1+3199.53408640339i</v>
      </c>
      <c r="F261">
        <f t="shared" ca="1" si="105"/>
        <v>69.486139019499433</v>
      </c>
      <c r="G261" t="str">
        <f t="shared" ca="1" si="117"/>
        <v>0.311609764693896+0.989705135201409i</v>
      </c>
      <c r="H261">
        <f t="shared" ca="1" si="118"/>
        <v>0.32061192831611157</v>
      </c>
      <c r="I261">
        <f t="shared" ca="1" si="119"/>
        <v>72.523333493194272</v>
      </c>
      <c r="K261" t="str">
        <f t="shared" ca="1" si="106"/>
        <v>1+9.41807218989731i</v>
      </c>
      <c r="L261" t="str">
        <f t="shared" ca="1" si="107"/>
        <v>1-2.59086230701621i</v>
      </c>
      <c r="M261" t="str">
        <f t="shared" ca="1" si="108"/>
        <v>1+3013.78310076714i</v>
      </c>
      <c r="N261" t="str">
        <f t="shared" si="109"/>
        <v>1+7.58479523109728i</v>
      </c>
      <c r="O261">
        <f t="shared" ca="1" si="110"/>
        <v>30.873410267617786</v>
      </c>
      <c r="P261" t="str">
        <f t="shared" ca="1" si="100"/>
        <v>-0.0325210853977232-0.0135199226827856i</v>
      </c>
      <c r="Q261">
        <f t="shared" ca="1" si="120"/>
        <v>-29.064349846100153</v>
      </c>
      <c r="R261">
        <f t="shared" ca="1" si="101"/>
        <v>-157.42598076155747</v>
      </c>
      <c r="T261" t="str">
        <f t="shared" si="111"/>
        <v>1+120.4i</v>
      </c>
      <c r="U261" t="str">
        <f t="shared" si="112"/>
        <v>1+7i</v>
      </c>
      <c r="V261" t="str">
        <f t="shared" si="113"/>
        <v>-0.000622923588039867i</v>
      </c>
      <c r="W261" t="str">
        <f t="shared" si="121"/>
        <v>0.00141279069767442-0.0105124584717608i</v>
      </c>
      <c r="X261">
        <f t="shared" si="122"/>
        <v>-39.488175193083002</v>
      </c>
      <c r="Y261">
        <f t="shared" si="123"/>
        <v>-82.345765271046233</v>
      </c>
      <c r="Z261">
        <f t="shared" si="124"/>
        <v>111408.46016432674</v>
      </c>
      <c r="AA261">
        <f t="shared" ca="1" si="114"/>
        <v>-39.167563264766891</v>
      </c>
      <c r="AB261">
        <f t="shared" ca="1" si="115"/>
        <v>-9.8224317778519605</v>
      </c>
    </row>
    <row r="262" spans="1:28" x14ac:dyDescent="0.2">
      <c r="A262">
        <v>710000</v>
      </c>
      <c r="B262" t="str">
        <f t="shared" si="116"/>
        <v>710000i</v>
      </c>
      <c r="C262" t="str">
        <f t="shared" ca="1" si="102"/>
        <v>1+9.55261607832442i</v>
      </c>
      <c r="D262" t="str">
        <f t="shared" ca="1" si="103"/>
        <v>1+5.01507850978152i</v>
      </c>
      <c r="E262" t="str">
        <f t="shared" ca="1" si="104"/>
        <v>1+3245.24171620915i</v>
      </c>
      <c r="F262">
        <f t="shared" ca="1" si="105"/>
        <v>69.486139019499433</v>
      </c>
      <c r="G262" t="str">
        <f t="shared" ca="1" si="117"/>
        <v>0.311609575688109+1.00445714945752i</v>
      </c>
      <c r="H262">
        <f t="shared" ca="1" si="118"/>
        <v>0.43768749605713664</v>
      </c>
      <c r="I262">
        <f t="shared" ca="1" si="119"/>
        <v>72.764706666404663</v>
      </c>
      <c r="K262" t="str">
        <f t="shared" ca="1" si="106"/>
        <v>1+9.55261607832442i</v>
      </c>
      <c r="L262" t="str">
        <f t="shared" ca="1" si="107"/>
        <v>1-2.62787462568787i</v>
      </c>
      <c r="M262" t="str">
        <f t="shared" ca="1" si="108"/>
        <v>1+3056.83714506381i</v>
      </c>
      <c r="N262" t="str">
        <f t="shared" si="109"/>
        <v>1+7.69314944868438i</v>
      </c>
      <c r="O262">
        <f t="shared" ca="1" si="110"/>
        <v>30.873410267617786</v>
      </c>
      <c r="P262" t="str">
        <f t="shared" ca="1" si="100"/>
        <v>-0.0325330509527871-0.0133310442582357i</v>
      </c>
      <c r="Q262">
        <f t="shared" ca="1" si="120"/>
        <v>-29.079407210771699</v>
      </c>
      <c r="R262">
        <f t="shared" ca="1" si="101"/>
        <v>-157.71768958158879</v>
      </c>
      <c r="T262" t="str">
        <f t="shared" si="111"/>
        <v>1+122.12i</v>
      </c>
      <c r="U262" t="str">
        <f t="shared" si="112"/>
        <v>1+7.1i</v>
      </c>
      <c r="V262" t="str">
        <f t="shared" si="113"/>
        <v>-0.000614150016377334i</v>
      </c>
      <c r="W262" t="str">
        <f t="shared" si="121"/>
        <v>0.00137404269371175-0.0103698531417307i</v>
      </c>
      <c r="X262">
        <f t="shared" si="122"/>
        <v>-39.608959567625149</v>
      </c>
      <c r="Y262">
        <f t="shared" si="123"/>
        <v>-82.452072492365502</v>
      </c>
      <c r="Z262">
        <f t="shared" si="124"/>
        <v>113000.00959524569</v>
      </c>
      <c r="AA262">
        <f t="shared" ca="1" si="114"/>
        <v>-39.171272071568012</v>
      </c>
      <c r="AB262">
        <f t="shared" ca="1" si="115"/>
        <v>-9.6873658259608391</v>
      </c>
    </row>
    <row r="263" spans="1:28" x14ac:dyDescent="0.2">
      <c r="A263">
        <v>720000</v>
      </c>
      <c r="B263" t="str">
        <f t="shared" si="116"/>
        <v>720000i</v>
      </c>
      <c r="C263" t="str">
        <f t="shared" ca="1" si="102"/>
        <v>1+9.68715996675152i</v>
      </c>
      <c r="D263" t="str">
        <f t="shared" ca="1" si="103"/>
        <v>1+5.08571341836999i</v>
      </c>
      <c r="E263" t="str">
        <f t="shared" ca="1" si="104"/>
        <v>1+3290.94934601492i</v>
      </c>
      <c r="F263">
        <f t="shared" ca="1" si="105"/>
        <v>69.486139019499433</v>
      </c>
      <c r="G263" t="str">
        <f t="shared" ca="1" si="117"/>
        <v>0.311609394502742+1.01920070511501i</v>
      </c>
      <c r="H263">
        <f t="shared" ca="1" si="118"/>
        <v>0.55328817471272185</v>
      </c>
      <c r="I263">
        <f t="shared" ca="1" si="119"/>
        <v>72.999564633385788</v>
      </c>
      <c r="K263" t="str">
        <f t="shared" ca="1" si="106"/>
        <v>1+9.68715996675152i</v>
      </c>
      <c r="L263" t="str">
        <f t="shared" ca="1" si="107"/>
        <v>1-2.66488694435953i</v>
      </c>
      <c r="M263" t="str">
        <f t="shared" ca="1" si="108"/>
        <v>1+3099.89118936049i</v>
      </c>
      <c r="N263" t="str">
        <f t="shared" si="109"/>
        <v>1+7.80150366627149i</v>
      </c>
      <c r="O263">
        <f t="shared" ca="1" si="110"/>
        <v>30.873410267617786</v>
      </c>
      <c r="P263" t="str">
        <f t="shared" ca="1" si="100"/>
        <v>-0.0325445320746343-0.0131473508648369i</v>
      </c>
      <c r="Q263">
        <f t="shared" ca="1" si="120"/>
        <v>-29.093895027198549</v>
      </c>
      <c r="R263">
        <f t="shared" ca="1" si="101"/>
        <v>-158.00226056914801</v>
      </c>
      <c r="T263" t="str">
        <f t="shared" si="111"/>
        <v>1+123.84i</v>
      </c>
      <c r="U263" t="str">
        <f t="shared" si="112"/>
        <v>1+7.2i</v>
      </c>
      <c r="V263" t="str">
        <f t="shared" si="113"/>
        <v>-0.00060562015503876i</v>
      </c>
      <c r="W263" t="str">
        <f t="shared" si="121"/>
        <v>0.00133685720824604-0.0102309920544103i</v>
      </c>
      <c r="X263">
        <f t="shared" si="122"/>
        <v>-39.728119650922416</v>
      </c>
      <c r="Y263">
        <f t="shared" si="123"/>
        <v>-82.555486959880909</v>
      </c>
      <c r="Z263">
        <f t="shared" si="124"/>
        <v>114591.55902616464</v>
      </c>
      <c r="AA263">
        <f t="shared" ca="1" si="114"/>
        <v>-39.174831476209697</v>
      </c>
      <c r="AB263">
        <f t="shared" ca="1" si="115"/>
        <v>-9.5559223264951214</v>
      </c>
    </row>
    <row r="264" spans="1:28" x14ac:dyDescent="0.2">
      <c r="A264">
        <v>730000</v>
      </c>
      <c r="B264" t="str">
        <f t="shared" si="116"/>
        <v>730000i</v>
      </c>
      <c r="C264" t="str">
        <f t="shared" ca="1" si="102"/>
        <v>1+9.82170385517863i</v>
      </c>
      <c r="D264" t="str">
        <f t="shared" ca="1" si="103"/>
        <v>1+5.15634832695847i</v>
      </c>
      <c r="E264" t="str">
        <f t="shared" ca="1" si="104"/>
        <v>1+3336.65697582068i</v>
      </c>
      <c r="F264">
        <f t="shared" ca="1" si="105"/>
        <v>69.486139019499433</v>
      </c>
      <c r="G264" t="str">
        <f t="shared" ca="1" si="117"/>
        <v>0.311609220712231+1.03393614978742i</v>
      </c>
      <c r="H264">
        <f t="shared" ca="1" si="118"/>
        <v>0.66744833569029505</v>
      </c>
      <c r="I264">
        <f t="shared" ca="1" si="119"/>
        <v>73.228165304223253</v>
      </c>
      <c r="K264" t="str">
        <f t="shared" ca="1" si="106"/>
        <v>1+9.82170385517863i</v>
      </c>
      <c r="L264" t="str">
        <f t="shared" ca="1" si="107"/>
        <v>1-2.70189926303119i</v>
      </c>
      <c r="M264" t="str">
        <f t="shared" ca="1" si="108"/>
        <v>1+3142.94523365716i</v>
      </c>
      <c r="N264" t="str">
        <f t="shared" si="109"/>
        <v>1+7.90985788385859i</v>
      </c>
      <c r="O264">
        <f t="shared" ca="1" si="110"/>
        <v>30.873410267617786</v>
      </c>
      <c r="P264" t="str">
        <f t="shared" ca="1" si="100"/>
        <v>-0.0325555544280017-0.0129686326367672i</v>
      </c>
      <c r="Q264">
        <f t="shared" ca="1" si="120"/>
        <v>-29.10784107367612</v>
      </c>
      <c r="R264">
        <f t="shared" ca="1" si="101"/>
        <v>-158.27994145445291</v>
      </c>
      <c r="T264" t="str">
        <f t="shared" si="111"/>
        <v>1+125.56i</v>
      </c>
      <c r="U264" t="str">
        <f t="shared" si="112"/>
        <v>1+7.3i</v>
      </c>
      <c r="V264" t="str">
        <f t="shared" si="113"/>
        <v>-0.000597323988531379i</v>
      </c>
      <c r="W264" t="str">
        <f t="shared" si="121"/>
        <v>0.00130115186744743-0.0100957326208976i</v>
      </c>
      <c r="X264">
        <f t="shared" si="122"/>
        <v>-39.84569768277283</v>
      </c>
      <c r="Y264">
        <f t="shared" si="123"/>
        <v>-82.656124381889953</v>
      </c>
      <c r="Z264">
        <f t="shared" si="124"/>
        <v>116183.1084570836</v>
      </c>
      <c r="AA264">
        <f t="shared" ca="1" si="114"/>
        <v>-39.178249347082534</v>
      </c>
      <c r="AB264">
        <f t="shared" ca="1" si="115"/>
        <v>-9.4279590776666993</v>
      </c>
    </row>
    <row r="265" spans="1:28" x14ac:dyDescent="0.2">
      <c r="A265">
        <v>740000</v>
      </c>
      <c r="B265" t="str">
        <f t="shared" si="116"/>
        <v>740000i</v>
      </c>
      <c r="C265" t="str">
        <f t="shared" ca="1" si="102"/>
        <v>1+9.95624774360573i</v>
      </c>
      <c r="D265" t="str">
        <f t="shared" ca="1" si="103"/>
        <v>1+5.22698323554694i</v>
      </c>
      <c r="E265" t="str">
        <f t="shared" ca="1" si="104"/>
        <v>1+3382.36460562644i</v>
      </c>
      <c r="F265">
        <f t="shared" ca="1" si="105"/>
        <v>69.486139019499433</v>
      </c>
      <c r="G265" t="str">
        <f t="shared" ca="1" si="117"/>
        <v>0.311609053919563+1.04866381229834i</v>
      </c>
      <c r="H265">
        <f t="shared" ca="1" si="118"/>
        <v>0.7802012671598918</v>
      </c>
      <c r="I265">
        <f t="shared" ca="1" si="119"/>
        <v>73.450753273789033</v>
      </c>
      <c r="K265" t="str">
        <f t="shared" ca="1" si="106"/>
        <v>1+9.95624774360573i</v>
      </c>
      <c r="L265" t="str">
        <f t="shared" ca="1" si="107"/>
        <v>1-2.73891158170285i</v>
      </c>
      <c r="M265" t="str">
        <f t="shared" ca="1" si="108"/>
        <v>1+3185.99927795383i</v>
      </c>
      <c r="N265" t="str">
        <f t="shared" si="109"/>
        <v>1+8.0182121014457i</v>
      </c>
      <c r="O265">
        <f t="shared" ca="1" si="110"/>
        <v>30.873410267617786</v>
      </c>
      <c r="P265" t="str">
        <f t="shared" ca="1" si="100"/>
        <v>-0.0325661420091131-0.0127946908459998i</v>
      </c>
      <c r="Q265">
        <f t="shared" ca="1" si="120"/>
        <v>-29.121271489830526</v>
      </c>
      <c r="R265">
        <f t="shared" ca="1" si="101"/>
        <v>-158.55096917078137</v>
      </c>
      <c r="T265" t="str">
        <f t="shared" si="111"/>
        <v>1+127.28i</v>
      </c>
      <c r="U265" t="str">
        <f t="shared" si="112"/>
        <v>1+7.4i</v>
      </c>
      <c r="V265" t="str">
        <f t="shared" si="113"/>
        <v>-0.000589252042740415i</v>
      </c>
      <c r="W265" t="str">
        <f t="shared" si="121"/>
        <v>0.00126684962130059-0.00996393924036478i</v>
      </c>
      <c r="X265">
        <f t="shared" si="122"/>
        <v>-39.96173431160878</v>
      </c>
      <c r="Y265">
        <f t="shared" si="123"/>
        <v>-82.754094417562925</v>
      </c>
      <c r="Z265">
        <f t="shared" si="124"/>
        <v>117774.65788800255</v>
      </c>
      <c r="AA265">
        <f t="shared" ca="1" si="114"/>
        <v>-39.181533044448891</v>
      </c>
      <c r="AB265">
        <f t="shared" ca="1" si="115"/>
        <v>-9.303341143773892</v>
      </c>
    </row>
    <row r="266" spans="1:28" x14ac:dyDescent="0.2">
      <c r="A266">
        <v>750000</v>
      </c>
      <c r="B266" t="str">
        <f t="shared" si="116"/>
        <v>750000i</v>
      </c>
      <c r="C266" t="str">
        <f t="shared" ca="1" si="102"/>
        <v>1+10.0907916320328i</v>
      </c>
      <c r="D266" t="str">
        <f t="shared" ca="1" si="103"/>
        <v>1+5.29761814413541i</v>
      </c>
      <c r="E266" t="str">
        <f t="shared" ca="1" si="104"/>
        <v>1+3428.0722354322i</v>
      </c>
      <c r="F266">
        <f t="shared" ca="1" si="105"/>
        <v>69.486139019499433</v>
      </c>
      <c r="G266" t="str">
        <f t="shared" ca="1" si="117"/>
        <v>0.311608893754025+1.06338400393411i</v>
      </c>
      <c r="H266">
        <f t="shared" ca="1" si="118"/>
        <v>0.89157921244548921</v>
      </c>
      <c r="I266">
        <f t="shared" ca="1" si="119"/>
        <v>73.667560662542598</v>
      </c>
      <c r="K266" t="str">
        <f t="shared" ca="1" si="106"/>
        <v>1+10.0907916320328i</v>
      </c>
      <c r="L266" t="str">
        <f t="shared" ca="1" si="107"/>
        <v>1-2.77592390037451i</v>
      </c>
      <c r="M266" t="str">
        <f t="shared" ca="1" si="108"/>
        <v>1+3229.05332225051i</v>
      </c>
      <c r="N266" t="str">
        <f t="shared" si="109"/>
        <v>1+8.1265663190328i</v>
      </c>
      <c r="O266">
        <f t="shared" ca="1" si="110"/>
        <v>30.873410267617786</v>
      </c>
      <c r="P266" t="str">
        <f t="shared" ca="1" si="100"/>
        <v>-0.032576317273494-0.012625337175372i</v>
      </c>
      <c r="Q266">
        <f t="shared" ca="1" si="120"/>
        <v>-29.134210888894579</v>
      </c>
      <c r="R266">
        <f t="shared" ca="1" si="101"/>
        <v>-158.81557040394159</v>
      </c>
      <c r="T266" t="str">
        <f t="shared" si="111"/>
        <v>1+129i</v>
      </c>
      <c r="U266" t="str">
        <f t="shared" si="112"/>
        <v>1+7.5i</v>
      </c>
      <c r="V266" t="str">
        <f t="shared" si="113"/>
        <v>-0.000581395348837209i</v>
      </c>
      <c r="W266" t="str">
        <f t="shared" si="121"/>
        <v>0.00123387833858028-0.00983548288818929i</v>
      </c>
      <c r="X266">
        <f t="shared" si="122"/>
        <v>-40.076268671530201</v>
      </c>
      <c r="Y266">
        <f t="shared" si="123"/>
        <v>-82.849501064520481</v>
      </c>
      <c r="Z266">
        <f t="shared" si="124"/>
        <v>119366.2073189215</v>
      </c>
      <c r="AA266">
        <f t="shared" ca="1" si="114"/>
        <v>-39.184689459084709</v>
      </c>
      <c r="AB266">
        <f t="shared" ca="1" si="115"/>
        <v>-9.181940401977883</v>
      </c>
    </row>
    <row r="267" spans="1:28" x14ac:dyDescent="0.2">
      <c r="A267">
        <v>760000</v>
      </c>
      <c r="B267" t="str">
        <f t="shared" si="116"/>
        <v>760000i</v>
      </c>
      <c r="C267" t="str">
        <f t="shared" ca="1" si="102"/>
        <v>1+10.2253355204599i</v>
      </c>
      <c r="D267" t="str">
        <f t="shared" ca="1" si="103"/>
        <v>1+5.36825305272388i</v>
      </c>
      <c r="E267" t="str">
        <f t="shared" ca="1" si="104"/>
        <v>1+3473.77986523797i</v>
      </c>
      <c r="F267">
        <f t="shared" ca="1" si="105"/>
        <v>69.486139019499433</v>
      </c>
      <c r="G267" t="str">
        <f t="shared" ca="1" si="117"/>
        <v>0.311608739869122+1.07809701959761i</v>
      </c>
      <c r="H267">
        <f t="shared" ca="1" si="118"/>
        <v>1.0016134073076712</v>
      </c>
      <c r="I267">
        <f t="shared" ca="1" si="119"/>
        <v>73.878807894975267</v>
      </c>
      <c r="K267" t="str">
        <f t="shared" ca="1" si="106"/>
        <v>1+10.2253355204599i</v>
      </c>
      <c r="L267" t="str">
        <f t="shared" ca="1" si="107"/>
        <v>1-2.81293621904617i</v>
      </c>
      <c r="M267" t="str">
        <f t="shared" ca="1" si="108"/>
        <v>1+3272.10736654718i</v>
      </c>
      <c r="N267" t="str">
        <f t="shared" si="109"/>
        <v>1+8.2349205366199i</v>
      </c>
      <c r="O267">
        <f t="shared" ca="1" si="110"/>
        <v>30.873410267617786</v>
      </c>
      <c r="P267" t="str">
        <f t="shared" ca="1" si="100"/>
        <v>-0.032586101252569-0.0124603930476931i</v>
      </c>
      <c r="Q267">
        <f t="shared" ca="1" si="120"/>
        <v>-29.146682461296471</v>
      </c>
      <c r="R267">
        <f t="shared" ca="1" si="101"/>
        <v>-159.07396211089562</v>
      </c>
      <c r="T267" t="str">
        <f t="shared" si="111"/>
        <v>1+130.72i</v>
      </c>
      <c r="U267" t="str">
        <f t="shared" si="112"/>
        <v>1+7.6i</v>
      </c>
      <c r="V267" t="str">
        <f t="shared" si="113"/>
        <v>-0.00057374541003672i</v>
      </c>
      <c r="W267" t="str">
        <f t="shared" si="121"/>
        <v>0.00120217043709532-0.00971024073196114i</v>
      </c>
      <c r="X267">
        <f t="shared" si="122"/>
        <v>-40.189338454863034</v>
      </c>
      <c r="Y267">
        <f t="shared" si="123"/>
        <v>-82.942443017191721</v>
      </c>
      <c r="Z267">
        <f t="shared" si="124"/>
        <v>120957.75674984045</v>
      </c>
      <c r="AA267">
        <f t="shared" ca="1" si="114"/>
        <v>-39.187725047555361</v>
      </c>
      <c r="AB267">
        <f t="shared" ca="1" si="115"/>
        <v>-9.0636351222164535</v>
      </c>
    </row>
    <row r="268" spans="1:28" x14ac:dyDescent="0.2">
      <c r="A268">
        <v>770000</v>
      </c>
      <c r="B268" t="str">
        <f t="shared" si="116"/>
        <v>770000i</v>
      </c>
      <c r="C268" t="str">
        <f t="shared" ca="1" si="102"/>
        <v>1+10.359879408887i</v>
      </c>
      <c r="D268" t="str">
        <f t="shared" ca="1" si="103"/>
        <v>1+5.43888796131235i</v>
      </c>
      <c r="E268" t="str">
        <f t="shared" ca="1" si="104"/>
        <v>1+3519.48749504373i</v>
      </c>
      <c r="F268">
        <f t="shared" ca="1" si="105"/>
        <v>69.486139019499433</v>
      </c>
      <c r="G268" t="str">
        <f t="shared" ca="1" si="117"/>
        <v>0.311608591940714+1.09280313887209i</v>
      </c>
      <c r="H268">
        <f t="shared" ca="1" si="118"/>
        <v>1.1103341160858553</v>
      </c>
      <c r="I268">
        <f t="shared" ca="1" si="119"/>
        <v>74.084704420975683</v>
      </c>
      <c r="K268" t="str">
        <f t="shared" ca="1" si="106"/>
        <v>1+10.359879408887i</v>
      </c>
      <c r="L268" t="str">
        <f t="shared" ca="1" si="107"/>
        <v>1-2.84994853771783i</v>
      </c>
      <c r="M268" t="str">
        <f t="shared" ca="1" si="108"/>
        <v>1+3315.16141084385i</v>
      </c>
      <c r="N268" t="str">
        <f t="shared" si="109"/>
        <v>1+8.34327475420701i</v>
      </c>
      <c r="O268">
        <f t="shared" ca="1" si="110"/>
        <v>30.873410267617786</v>
      </c>
      <c r="P268" t="str">
        <f t="shared" ca="1" si="100"/>
        <v>-0.0325955136601429-0.0122996890059278i</v>
      </c>
      <c r="Q268">
        <f t="shared" ca="1" si="120"/>
        <v>-29.15870807030543</v>
      </c>
      <c r="R268">
        <f t="shared" ca="1" si="101"/>
        <v>-159.32635200932947</v>
      </c>
      <c r="T268" t="str">
        <f t="shared" si="111"/>
        <v>1+132.44i</v>
      </c>
      <c r="U268" t="str">
        <f t="shared" si="112"/>
        <v>1+7.7i</v>
      </c>
      <c r="V268" t="str">
        <f t="shared" si="113"/>
        <v>-0.000566294170945334i</v>
      </c>
      <c r="W268" t="str">
        <f t="shared" si="121"/>
        <v>0.00117166254575752-0.00958809577327824i</v>
      </c>
      <c r="X268">
        <f t="shared" si="122"/>
        <v>-40.300979980541463</v>
      </c>
      <c r="Y268">
        <f t="shared" si="123"/>
        <v>-83.033013998470778</v>
      </c>
      <c r="Z268">
        <f t="shared" si="124"/>
        <v>122549.30618075942</v>
      </c>
      <c r="AA268">
        <f t="shared" ca="1" si="114"/>
        <v>-39.190645864455611</v>
      </c>
      <c r="AB268">
        <f t="shared" ca="1" si="115"/>
        <v>-8.9483095774950954</v>
      </c>
    </row>
    <row r="269" spans="1:28" x14ac:dyDescent="0.2">
      <c r="A269">
        <v>780000</v>
      </c>
      <c r="B269" t="str">
        <f t="shared" si="116"/>
        <v>780000i</v>
      </c>
      <c r="C269" t="str">
        <f t="shared" ca="1" si="102"/>
        <v>1+10.4944232973141i</v>
      </c>
      <c r="D269" t="str">
        <f t="shared" ca="1" si="103"/>
        <v>1+5.50952286990083i</v>
      </c>
      <c r="E269" t="str">
        <f t="shared" ca="1" si="104"/>
        <v>1+3565.19512484949i</v>
      </c>
      <c r="F269">
        <f t="shared" ca="1" si="105"/>
        <v>69.486139019499433</v>
      </c>
      <c r="G269" t="str">
        <f t="shared" ca="1" si="117"/>
        <v>0.311608449665312+1.10750262700318i</v>
      </c>
      <c r="H269">
        <f t="shared" ca="1" si="118"/>
        <v>1.2177706666826373</v>
      </c>
      <c r="I269">
        <f t="shared" ca="1" si="119"/>
        <v>74.285449384901071</v>
      </c>
      <c r="K269" t="str">
        <f t="shared" ca="1" si="106"/>
        <v>1+10.4944232973141i</v>
      </c>
      <c r="L269" t="str">
        <f t="shared" ca="1" si="107"/>
        <v>1-2.88696085638949i</v>
      </c>
      <c r="M269" t="str">
        <f t="shared" ca="1" si="108"/>
        <v>1+3358.21545514053i</v>
      </c>
      <c r="N269" t="str">
        <f t="shared" si="109"/>
        <v>1+8.45162897179411i</v>
      </c>
      <c r="O269">
        <f t="shared" ca="1" si="110"/>
        <v>30.873410267617786</v>
      </c>
      <c r="P269" t="str">
        <f t="shared" ca="1" si="100"/>
        <v>-0.0326045729897573-0.0121430641399892i</v>
      </c>
      <c r="Q269">
        <f t="shared" ca="1" si="120"/>
        <v>-29.170308340406883</v>
      </c>
      <c r="R269">
        <f t="shared" ca="1" si="101"/>
        <v>-159.57293903986852</v>
      </c>
      <c r="T269" t="str">
        <f t="shared" si="111"/>
        <v>1+134.16i</v>
      </c>
      <c r="U269" t="str">
        <f t="shared" si="112"/>
        <v>1+7.8i</v>
      </c>
      <c r="V269" t="str">
        <f t="shared" si="113"/>
        <v>-0.000559033989266547i</v>
      </c>
      <c r="W269" t="str">
        <f t="shared" si="121"/>
        <v>0.00114229519540299-0.00946893651340986i</v>
      </c>
      <c r="X269">
        <f t="shared" si="122"/>
        <v>-40.411228258588771</v>
      </c>
      <c r="Y269">
        <f t="shared" si="123"/>
        <v>-83.121303066949935</v>
      </c>
      <c r="Z269">
        <f t="shared" si="124"/>
        <v>124140.85561167837</v>
      </c>
      <c r="AA269">
        <f t="shared" ca="1" si="114"/>
        <v>-39.193457591906132</v>
      </c>
      <c r="AB269">
        <f t="shared" ca="1" si="115"/>
        <v>-8.8358536820488638</v>
      </c>
    </row>
    <row r="270" spans="1:28" x14ac:dyDescent="0.2">
      <c r="A270">
        <v>790000</v>
      </c>
      <c r="B270" t="str">
        <f t="shared" si="116"/>
        <v>790000i</v>
      </c>
      <c r="C270" t="str">
        <f t="shared" ca="1" si="102"/>
        <v>1+10.6289671857413i</v>
      </c>
      <c r="D270" t="str">
        <f t="shared" ca="1" si="103"/>
        <v>1+5.5801577784893i</v>
      </c>
      <c r="E270" t="str">
        <f t="shared" ca="1" si="104"/>
        <v>1+3610.90275465525i</v>
      </c>
      <c r="F270">
        <f t="shared" ca="1" si="105"/>
        <v>69.486139019499433</v>
      </c>
      <c r="G270" t="str">
        <f t="shared" ca="1" si="117"/>
        <v>0.311608312758506+1.1221957358064i</v>
      </c>
      <c r="H270">
        <f t="shared" ca="1" si="118"/>
        <v>1.3239514843841778</v>
      </c>
      <c r="I270">
        <f t="shared" ca="1" si="119"/>
        <v>74.481232246688734</v>
      </c>
      <c r="K270" t="str">
        <f t="shared" ca="1" si="106"/>
        <v>1+10.6289671857413i</v>
      </c>
      <c r="L270" t="str">
        <f t="shared" ca="1" si="107"/>
        <v>1-2.92397317506116i</v>
      </c>
      <c r="M270" t="str">
        <f t="shared" ca="1" si="108"/>
        <v>1+3401.2694994372i</v>
      </c>
      <c r="N270" t="str">
        <f t="shared" si="109"/>
        <v>1+8.55998318938122i</v>
      </c>
      <c r="O270">
        <f t="shared" ca="1" si="110"/>
        <v>30.873410267617786</v>
      </c>
      <c r="P270" t="str">
        <f t="shared" ca="1" si="100"/>
        <v>-0.0326132966037958-0.0119903655561109i</v>
      </c>
      <c r="Q270">
        <f t="shared" ca="1" si="120"/>
        <v>-29.181502739020438</v>
      </c>
      <c r="R270">
        <f t="shared" ca="1" si="101"/>
        <v>-159.81391380254331</v>
      </c>
      <c r="T270" t="str">
        <f t="shared" si="111"/>
        <v>1+135.88i</v>
      </c>
      <c r="U270" t="str">
        <f t="shared" si="112"/>
        <v>1+7.9i</v>
      </c>
      <c r="V270" t="str">
        <f t="shared" si="113"/>
        <v>-0.000551957609655578i</v>
      </c>
      <c r="W270" t="str">
        <f t="shared" si="121"/>
        <v>0.00111401253562089-0.00935265664106063i</v>
      </c>
      <c r="X270">
        <f t="shared" si="122"/>
        <v>-40.520117050952713</v>
      </c>
      <c r="Y270">
        <f t="shared" si="123"/>
        <v>-83.207394901788504</v>
      </c>
      <c r="Z270">
        <f t="shared" si="124"/>
        <v>125732.40504259733</v>
      </c>
      <c r="AA270">
        <f t="shared" ca="1" si="114"/>
        <v>-39.196165566568538</v>
      </c>
      <c r="AB270">
        <f t="shared" ca="1" si="115"/>
        <v>-8.7261626550997704</v>
      </c>
    </row>
    <row r="271" spans="1:28" x14ac:dyDescent="0.2">
      <c r="A271">
        <v>800000</v>
      </c>
      <c r="B271" t="str">
        <f t="shared" si="116"/>
        <v>800000i</v>
      </c>
      <c r="C271" t="str">
        <f t="shared" ca="1" si="102"/>
        <v>1+10.7635110741684i</v>
      </c>
      <c r="D271" t="str">
        <f t="shared" ca="1" si="103"/>
        <v>1+5.65079268707777i</v>
      </c>
      <c r="E271" t="str">
        <f t="shared" ca="1" si="104"/>
        <v>1+3656.61038446102i</v>
      </c>
      <c r="F271">
        <f t="shared" ca="1" si="105"/>
        <v>69.486139019499433</v>
      </c>
      <c r="G271" t="str">
        <f t="shared" ca="1" si="117"/>
        <v>0.311608180953543+1.13688270450643i</v>
      </c>
      <c r="H271">
        <f t="shared" ca="1" si="118"/>
        <v>1.4289041245173741</v>
      </c>
      <c r="I271">
        <f t="shared" ca="1" si="119"/>
        <v>74.672233358933497</v>
      </c>
      <c r="K271" t="str">
        <f t="shared" ca="1" si="106"/>
        <v>1+10.7635110741684i</v>
      </c>
      <c r="L271" t="str">
        <f t="shared" ca="1" si="107"/>
        <v>1-2.96098549373282i</v>
      </c>
      <c r="M271" t="str">
        <f t="shared" ca="1" si="108"/>
        <v>1+3444.32354373387i</v>
      </c>
      <c r="N271" t="str">
        <f t="shared" si="109"/>
        <v>1+8.66833740696832i</v>
      </c>
      <c r="O271">
        <f t="shared" ca="1" si="110"/>
        <v>30.873410267617786</v>
      </c>
      <c r="P271" t="str">
        <f t="shared" ca="1" si="100"/>
        <v>-0.0326217008151245-0.0118414478851624i</v>
      </c>
      <c r="Q271">
        <f t="shared" ca="1" si="120"/>
        <v>-29.192309652116066</v>
      </c>
      <c r="R271">
        <f t="shared" ca="1" si="101"/>
        <v>-160.04945896901987</v>
      </c>
      <c r="T271" t="str">
        <f t="shared" si="111"/>
        <v>1+137.6i</v>
      </c>
      <c r="U271" t="str">
        <f t="shared" si="112"/>
        <v>1+8i</v>
      </c>
      <c r="V271" t="str">
        <f t="shared" si="113"/>
        <v>-0.000545058139534884i</v>
      </c>
      <c r="W271" t="str">
        <f t="shared" si="121"/>
        <v>0.00108676207513417-0.00923915474060823i</v>
      </c>
      <c r="X271">
        <f t="shared" si="122"/>
        <v>-40.627678928932355</v>
      </c>
      <c r="Y271">
        <f t="shared" si="123"/>
        <v>-83.291370067081218</v>
      </c>
      <c r="Z271">
        <f t="shared" si="124"/>
        <v>127323.95447351628</v>
      </c>
      <c r="AA271">
        <f t="shared" ca="1" si="114"/>
        <v>-39.198774804414981</v>
      </c>
      <c r="AB271">
        <f t="shared" ca="1" si="115"/>
        <v>-8.619136708147721</v>
      </c>
    </row>
    <row r="272" spans="1:28" x14ac:dyDescent="0.2">
      <c r="A272">
        <v>810000</v>
      </c>
      <c r="B272" t="str">
        <f t="shared" si="116"/>
        <v>810000i</v>
      </c>
      <c r="C272" t="str">
        <f t="shared" ca="1" si="102"/>
        <v>1+10.8980549625955i</v>
      </c>
      <c r="D272" t="str">
        <f t="shared" ca="1" si="103"/>
        <v>1+5.72142759566624i</v>
      </c>
      <c r="E272" t="str">
        <f t="shared" ca="1" si="104"/>
        <v>1+3702.31801426678i</v>
      </c>
      <c r="F272">
        <f t="shared" ca="1" si="105"/>
        <v>69.486139019499433</v>
      </c>
      <c r="G272" t="str">
        <f t="shared" ca="1" si="117"/>
        <v>0.311608054000051+1.15156376051445i</v>
      </c>
      <c r="H272">
        <f t="shared" ca="1" si="118"/>
        <v>1.532655303956999</v>
      </c>
      <c r="I272">
        <f t="shared" ca="1" si="119"/>
        <v>74.858624503506789</v>
      </c>
      <c r="K272" t="str">
        <f t="shared" ca="1" si="106"/>
        <v>1+10.8980549625955i</v>
      </c>
      <c r="L272" t="str">
        <f t="shared" ca="1" si="107"/>
        <v>1-2.99799781240448i</v>
      </c>
      <c r="M272" t="str">
        <f t="shared" ca="1" si="108"/>
        <v>1+3487.37758803055i</v>
      </c>
      <c r="N272" t="str">
        <f t="shared" si="109"/>
        <v>1+8.77669162455542i</v>
      </c>
      <c r="O272">
        <f t="shared" ca="1" si="110"/>
        <v>30.873410267617786</v>
      </c>
      <c r="P272" t="str">
        <f t="shared" ca="1" si="100"/>
        <v>-0.0326298009619741-0.0116961728266236i</v>
      </c>
      <c r="Q272">
        <f t="shared" ca="1" si="120"/>
        <v>-29.20274645423277</v>
      </c>
      <c r="R272">
        <f t="shared" ca="1" si="101"/>
        <v>-160.27974967202138</v>
      </c>
      <c r="T272" t="str">
        <f t="shared" si="111"/>
        <v>1+139.32i</v>
      </c>
      <c r="U272" t="str">
        <f t="shared" si="112"/>
        <v>1+8.1i</v>
      </c>
      <c r="V272" t="str">
        <f t="shared" si="113"/>
        <v>-0.00053832902670112i</v>
      </c>
      <c r="W272" t="str">
        <f t="shared" si="121"/>
        <v>0.00106049444353282-0.00912833401931694i</v>
      </c>
      <c r="X272">
        <f t="shared" si="122"/>
        <v>-40.733945327416301</v>
      </c>
      <c r="Y272">
        <f t="shared" si="123"/>
        <v>-83.373305257417456</v>
      </c>
      <c r="Z272">
        <f t="shared" si="124"/>
        <v>128915.50390443523</v>
      </c>
      <c r="AA272">
        <f t="shared" ca="1" si="114"/>
        <v>-39.2012900234593</v>
      </c>
      <c r="AB272">
        <f t="shared" ca="1" si="115"/>
        <v>-8.5146807539106675</v>
      </c>
    </row>
    <row r="273" spans="1:28" x14ac:dyDescent="0.2">
      <c r="A273">
        <v>820000</v>
      </c>
      <c r="B273" t="str">
        <f t="shared" si="116"/>
        <v>820000i</v>
      </c>
      <c r="C273" t="str">
        <f t="shared" ca="1" si="102"/>
        <v>1+11.0325988510226i</v>
      </c>
      <c r="D273" t="str">
        <f t="shared" ca="1" si="103"/>
        <v>1+5.79206250425471i</v>
      </c>
      <c r="E273" t="str">
        <f t="shared" ca="1" si="104"/>
        <v>1+3748.02564407254i</v>
      </c>
      <c r="F273">
        <f t="shared" ca="1" si="105"/>
        <v>69.486139019499433</v>
      </c>
      <c r="G273" t="str">
        <f t="shared" ca="1" si="117"/>
        <v>0.31160793166282+1.16623912014841i</v>
      </c>
      <c r="H273">
        <f t="shared" ca="1" si="118"/>
        <v>1.6352309314953466</v>
      </c>
      <c r="I273">
        <f t="shared" ca="1" si="119"/>
        <v>75.040569390960542</v>
      </c>
      <c r="K273" t="str">
        <f t="shared" ca="1" si="106"/>
        <v>1+11.0325988510226i</v>
      </c>
      <c r="L273" t="str">
        <f t="shared" ca="1" si="107"/>
        <v>1-3.03501013107614i</v>
      </c>
      <c r="M273" t="str">
        <f t="shared" ca="1" si="108"/>
        <v>1+3530.43163232722i</v>
      </c>
      <c r="N273" t="str">
        <f t="shared" si="109"/>
        <v>1+8.88504584214253i</v>
      </c>
      <c r="O273">
        <f t="shared" ca="1" si="110"/>
        <v>30.873410267617786</v>
      </c>
      <c r="P273" t="str">
        <f t="shared" ca="1" si="100"/>
        <v>-0.0326376114766887-0.0115544087252417i</v>
      </c>
      <c r="Q273">
        <f t="shared" ca="1" si="120"/>
        <v>-29.212829573360434</v>
      </c>
      <c r="R273">
        <f t="shared" ca="1" si="101"/>
        <v>-160.50495387328783</v>
      </c>
      <c r="T273" t="str">
        <f t="shared" si="111"/>
        <v>1+141.04i</v>
      </c>
      <c r="U273" t="str">
        <f t="shared" si="112"/>
        <v>1+8.2i</v>
      </c>
      <c r="V273" t="str">
        <f t="shared" si="113"/>
        <v>-0.000531764038570618i</v>
      </c>
      <c r="W273" t="str">
        <f t="shared" si="121"/>
        <v>0.00103516317238747-0.00902010205214787i</v>
      </c>
      <c r="X273">
        <f t="shared" si="122"/>
        <v>-40.838946596136346</v>
      </c>
      <c r="Y273">
        <f t="shared" si="123"/>
        <v>-83.453273526163557</v>
      </c>
      <c r="Z273">
        <f t="shared" si="124"/>
        <v>130507.05333535418</v>
      </c>
      <c r="AA273">
        <f t="shared" ca="1" si="114"/>
        <v>-39.203715664640995</v>
      </c>
      <c r="AB273">
        <f t="shared" ca="1" si="115"/>
        <v>-8.4127041352030147</v>
      </c>
    </row>
    <row r="274" spans="1:28" x14ac:dyDescent="0.2">
      <c r="A274">
        <v>830000</v>
      </c>
      <c r="B274" t="str">
        <f t="shared" si="116"/>
        <v>830000i</v>
      </c>
      <c r="C274" t="str">
        <f t="shared" ca="1" si="102"/>
        <v>1+11.1671427394497i</v>
      </c>
      <c r="D274" t="str">
        <f t="shared" ca="1" si="103"/>
        <v>1+5.86269741284319i</v>
      </c>
      <c r="E274" t="str">
        <f t="shared" ca="1" si="104"/>
        <v>1+3793.73327387831i</v>
      </c>
      <c r="F274">
        <f t="shared" ca="1" si="105"/>
        <v>69.486139019499433</v>
      </c>
      <c r="G274" t="str">
        <f t="shared" ca="1" si="117"/>
        <v>0.311607813720722+1.18090898930129i</v>
      </c>
      <c r="H274">
        <f t="shared" ca="1" si="118"/>
        <v>1.7366561370971969</v>
      </c>
      <c r="I274">
        <f t="shared" ca="1" si="119"/>
        <v>75.218224125668982</v>
      </c>
      <c r="K274" t="str">
        <f t="shared" ca="1" si="106"/>
        <v>1+11.1671427394497i</v>
      </c>
      <c r="L274" t="str">
        <f t="shared" ca="1" si="107"/>
        <v>1-3.0720224497478i</v>
      </c>
      <c r="M274" t="str">
        <f t="shared" ca="1" si="108"/>
        <v>1+3573.48567662389i</v>
      </c>
      <c r="N274" t="str">
        <f t="shared" si="109"/>
        <v>1+8.99340005972963i</v>
      </c>
      <c r="O274">
        <f t="shared" ca="1" si="110"/>
        <v>30.873410267617786</v>
      </c>
      <c r="P274" t="str">
        <f t="shared" ref="P274:P337" ca="1" si="125">IMDIV(IMPRODUCT(O274,K274,L274,),IMPRODUCT(M274,N274,))</f>
        <v>-0.0326451459489058-0.0114160301776786i</v>
      </c>
      <c r="Q274">
        <f t="shared" ca="1" si="120"/>
        <v>-29.22257455110303</v>
      </c>
      <c r="R274">
        <f t="shared" ref="R274:R337" ca="1" si="126">IMARGUMENT(P274)*180/PI()</f>
        <v>-160.7252327113352</v>
      </c>
      <c r="T274" t="str">
        <f t="shared" si="111"/>
        <v>1+142.76i</v>
      </c>
      <c r="U274" t="str">
        <f t="shared" si="112"/>
        <v>1+8.3i</v>
      </c>
      <c r="V274" t="str">
        <f t="shared" si="113"/>
        <v>-0.000525357242925189i</v>
      </c>
      <c r="W274" t="str">
        <f t="shared" si="121"/>
        <v>0.00101072449397225-0.00891437054289491i</v>
      </c>
      <c r="X274">
        <f t="shared" si="122"/>
        <v>-40.942712048126531</v>
      </c>
      <c r="Y274">
        <f t="shared" si="123"/>
        <v>-83.531344497862918</v>
      </c>
      <c r="Z274">
        <f t="shared" si="124"/>
        <v>132098.60276627314</v>
      </c>
      <c r="AA274">
        <f t="shared" ca="1" si="114"/>
        <v>-39.206055911029331</v>
      </c>
      <c r="AB274">
        <f t="shared" ca="1" si="115"/>
        <v>-8.3131203721939357</v>
      </c>
    </row>
    <row r="275" spans="1:28" x14ac:dyDescent="0.2">
      <c r="A275">
        <v>840000</v>
      </c>
      <c r="B275" t="str">
        <f t="shared" si="116"/>
        <v>840000i</v>
      </c>
      <c r="C275" t="str">
        <f t="shared" ca="1" si="102"/>
        <v>1+11.3016866278768i</v>
      </c>
      <c r="D275" t="str">
        <f t="shared" ca="1" si="103"/>
        <v>1+5.93333232143166i</v>
      </c>
      <c r="E275" t="str">
        <f t="shared" ca="1" si="104"/>
        <v>1+3839.44090368407i</v>
      </c>
      <c r="F275">
        <f t="shared" ca="1" si="105"/>
        <v>69.486139019499433</v>
      </c>
      <c r="G275" t="str">
        <f t="shared" ca="1" si="117"/>
        <v>0.311607699965717+1.19557356406162i</v>
      </c>
      <c r="H275">
        <f t="shared" ca="1" si="118"/>
        <v>1.8369553000637908</v>
      </c>
      <c r="I275">
        <f t="shared" ca="1" si="119"/>
        <v>75.39173763940066</v>
      </c>
      <c r="K275" t="str">
        <f t="shared" ca="1" si="106"/>
        <v>1+11.3016866278768i</v>
      </c>
      <c r="L275" t="str">
        <f t="shared" ca="1" si="107"/>
        <v>1-3.10903476841946i</v>
      </c>
      <c r="M275" t="str">
        <f t="shared" ca="1" si="108"/>
        <v>1+3616.53972092057i</v>
      </c>
      <c r="N275" t="str">
        <f t="shared" si="109"/>
        <v>1+9.10175427731674i</v>
      </c>
      <c r="O275">
        <f t="shared" ca="1" si="110"/>
        <v>30.873410267617786</v>
      </c>
      <c r="P275" t="str">
        <f t="shared" ca="1" si="125"/>
        <v>-0.0326524171836791-0.0112809176667039i</v>
      </c>
      <c r="Q275">
        <f t="shared" ca="1" si="120"/>
        <v>-29.231996098503398</v>
      </c>
      <c r="R275">
        <f t="shared" ca="1" si="126"/>
        <v>-160.94074083020956</v>
      </c>
      <c r="T275" t="str">
        <f t="shared" si="111"/>
        <v>1+144.48i</v>
      </c>
      <c r="U275" t="str">
        <f t="shared" si="112"/>
        <v>1+8.4i</v>
      </c>
      <c r="V275" t="str">
        <f t="shared" si="113"/>
        <v>-0.000519102990033223i</v>
      </c>
      <c r="W275" t="str">
        <f t="shared" si="121"/>
        <v>0.000987137156005045-0.0088110551004756i</v>
      </c>
      <c r="X275">
        <f t="shared" si="122"/>
        <v>-41.045270005563509</v>
      </c>
      <c r="Y275">
        <f t="shared" si="123"/>
        <v>-83.607584566020108</v>
      </c>
      <c r="Z275">
        <f t="shared" si="124"/>
        <v>133690.15219719207</v>
      </c>
      <c r="AA275">
        <f t="shared" ca="1" si="114"/>
        <v>-39.208314705499717</v>
      </c>
      <c r="AB275">
        <f t="shared" ca="1" si="115"/>
        <v>-8.2158469266194487</v>
      </c>
    </row>
    <row r="276" spans="1:28" x14ac:dyDescent="0.2">
      <c r="A276">
        <v>850000</v>
      </c>
      <c r="B276" t="str">
        <f t="shared" si="116"/>
        <v>850000i</v>
      </c>
      <c r="C276" t="str">
        <f t="shared" ca="1" si="102"/>
        <v>1+11.4362305163039i</v>
      </c>
      <c r="D276" t="str">
        <f t="shared" ca="1" si="103"/>
        <v>1+6.00396723002013i</v>
      </c>
      <c r="E276" t="str">
        <f t="shared" ca="1" si="104"/>
        <v>1+3885.14853348983i</v>
      </c>
      <c r="F276">
        <f t="shared" ca="1" si="105"/>
        <v>69.486139019499433</v>
      </c>
      <c r="G276" t="str">
        <f t="shared" ca="1" si="117"/>
        <v>0.311607590201933+1.21023303129029i</v>
      </c>
      <c r="H276">
        <f t="shared" ca="1" si="118"/>
        <v>1.9361520761336433</v>
      </c>
      <c r="I276">
        <f t="shared" ca="1" si="119"/>
        <v>75.561252095775785</v>
      </c>
      <c r="K276" t="str">
        <f t="shared" ca="1" si="106"/>
        <v>1+11.4362305163039i</v>
      </c>
      <c r="L276" t="str">
        <f t="shared" ca="1" si="107"/>
        <v>1-3.14604708709112i</v>
      </c>
      <c r="M276" t="str">
        <f t="shared" ca="1" si="108"/>
        <v>1+3659.59376521724i</v>
      </c>
      <c r="N276" t="str">
        <f t="shared" si="109"/>
        <v>1+9.21010849490384i</v>
      </c>
      <c r="O276">
        <f t="shared" ca="1" si="110"/>
        <v>30.873410267617786</v>
      </c>
      <c r="P276" t="str">
        <f t="shared" ca="1" si="125"/>
        <v>-0.0326594372549948-0.0111489572207136i</v>
      </c>
      <c r="Q276">
        <f t="shared" ca="1" si="120"/>
        <v>-29.241108147878386</v>
      </c>
      <c r="R276">
        <f t="shared" ca="1" si="126"/>
        <v>-161.15162669035314</v>
      </c>
      <c r="T276" t="str">
        <f t="shared" si="111"/>
        <v>1+146.2i</v>
      </c>
      <c r="U276" t="str">
        <f t="shared" si="112"/>
        <v>1+8.5i</v>
      </c>
      <c r="V276" t="str">
        <f t="shared" si="113"/>
        <v>-0.000512995896032832i</v>
      </c>
      <c r="W276" t="str">
        <f t="shared" si="121"/>
        <v>0.000964362250972299-0.00871007502929738i</v>
      </c>
      <c r="X276">
        <f t="shared" si="122"/>
        <v>-41.14664784315211</v>
      </c>
      <c r="Y276">
        <f t="shared" si="123"/>
        <v>-83.682057077423096</v>
      </c>
      <c r="Z276">
        <f t="shared" si="124"/>
        <v>135281.70162811104</v>
      </c>
      <c r="AA276">
        <f t="shared" ca="1" si="114"/>
        <v>-39.210495767018465</v>
      </c>
      <c r="AB276">
        <f t="shared" ca="1" si="115"/>
        <v>-8.1208049816473107</v>
      </c>
    </row>
    <row r="277" spans="1:28" x14ac:dyDescent="0.2">
      <c r="A277">
        <v>860000</v>
      </c>
      <c r="B277" t="str">
        <f t="shared" si="116"/>
        <v>860000i</v>
      </c>
      <c r="C277" t="str">
        <f t="shared" ca="1" si="102"/>
        <v>1+11.570774404731i</v>
      </c>
      <c r="D277" t="str">
        <f t="shared" ca="1" si="103"/>
        <v>1+6.0746021386086i</v>
      </c>
      <c r="E277" t="str">
        <f t="shared" ca="1" si="104"/>
        <v>1+3930.85616329559i</v>
      </c>
      <c r="F277">
        <f t="shared" ca="1" si="105"/>
        <v>69.486139019499433</v>
      </c>
      <c r="G277" t="str">
        <f t="shared" ca="1" si="117"/>
        <v>0.311607484244812+1.22488756915696i</v>
      </c>
      <c r="H277">
        <f t="shared" ca="1" si="118"/>
        <v>2.034269423547602</v>
      </c>
      <c r="I277">
        <f t="shared" ca="1" si="119"/>
        <v>75.726903267845486</v>
      </c>
      <c r="K277" t="str">
        <f t="shared" ca="1" si="106"/>
        <v>1+11.570774404731i</v>
      </c>
      <c r="L277" t="str">
        <f t="shared" ca="1" si="107"/>
        <v>1-3.18305940576278i</v>
      </c>
      <c r="M277" t="str">
        <f t="shared" ca="1" si="108"/>
        <v>1+3702.64780951392i</v>
      </c>
      <c r="N277" t="str">
        <f t="shared" si="109"/>
        <v>1+9.31846271249094i</v>
      </c>
      <c r="O277">
        <f t="shared" ca="1" si="110"/>
        <v>30.873410267617786</v>
      </c>
      <c r="P277" t="str">
        <f t="shared" ca="1" si="125"/>
        <v>-0.0326662175550959-0.0110200400965577i</v>
      </c>
      <c r="Q277">
        <f t="shared" ca="1" si="120"/>
        <v>-29.249923900980207</v>
      </c>
      <c r="R277">
        <f t="shared" ca="1" si="126"/>
        <v>-161.35803286263547</v>
      </c>
      <c r="T277" t="str">
        <f t="shared" si="111"/>
        <v>1+147.92i</v>
      </c>
      <c r="U277" t="str">
        <f t="shared" si="112"/>
        <v>1+8.6i</v>
      </c>
      <c r="V277" t="str">
        <f t="shared" si="113"/>
        <v>-0.000507030827474311i</v>
      </c>
      <c r="W277" t="str">
        <f t="shared" si="121"/>
        <v>0.000942363058747612-0.00861135313270378i</v>
      </c>
      <c r="X277">
        <f t="shared" si="122"/>
        <v>-41.246872029208426</v>
      </c>
      <c r="Y277">
        <f t="shared" si="123"/>
        <v>-83.754822504054403</v>
      </c>
      <c r="Z277">
        <f t="shared" si="124"/>
        <v>136873.25105903001</v>
      </c>
      <c r="AA277">
        <f t="shared" ca="1" si="114"/>
        <v>-39.212602605660827</v>
      </c>
      <c r="AB277">
        <f t="shared" ca="1" si="115"/>
        <v>-8.0279192362089162</v>
      </c>
    </row>
    <row r="278" spans="1:28" x14ac:dyDescent="0.2">
      <c r="A278">
        <v>870000</v>
      </c>
      <c r="B278" t="str">
        <f t="shared" si="116"/>
        <v>870000i</v>
      </c>
      <c r="C278" t="str">
        <f t="shared" ca="1" si="102"/>
        <v>1+11.7053182931581i</v>
      </c>
      <c r="D278" t="str">
        <f t="shared" ca="1" si="103"/>
        <v>1+6.14523704719708i</v>
      </c>
      <c r="E278" t="str">
        <f t="shared" ca="1" si="104"/>
        <v>1+3976.56379310136i</v>
      </c>
      <c r="F278">
        <f t="shared" ca="1" si="105"/>
        <v>69.486139019499433</v>
      </c>
      <c r="G278" t="str">
        <f t="shared" ca="1" si="117"/>
        <v>0.311607381920345+1.23953734763957i</v>
      </c>
      <c r="H278">
        <f t="shared" ca="1" si="118"/>
        <v>2.1313296281107248</v>
      </c>
      <c r="I278">
        <f t="shared" ca="1" si="119"/>
        <v>75.888820890841828</v>
      </c>
      <c r="K278" t="str">
        <f t="shared" ca="1" si="106"/>
        <v>1+11.7053182931581i</v>
      </c>
      <c r="L278" t="str">
        <f t="shared" ca="1" si="107"/>
        <v>1-3.22007172443444i</v>
      </c>
      <c r="M278" t="str">
        <f t="shared" ca="1" si="108"/>
        <v>1+3745.70185381059i</v>
      </c>
      <c r="N278" t="str">
        <f t="shared" si="109"/>
        <v>1+9.42681693007805i</v>
      </c>
      <c r="O278">
        <f t="shared" ca="1" si="110"/>
        <v>30.873410267617786</v>
      </c>
      <c r="P278" t="str">
        <f t="shared" ca="1" si="125"/>
        <v>-0.0326727688399815-0.0108940624838401i</v>
      </c>
      <c r="Q278">
        <f t="shared" ca="1" si="120"/>
        <v>-29.258455873774395</v>
      </c>
      <c r="R278">
        <f t="shared" ca="1" si="126"/>
        <v>-161.56009630653725</v>
      </c>
      <c r="T278" t="str">
        <f t="shared" si="111"/>
        <v>1+149.64i</v>
      </c>
      <c r="U278" t="str">
        <f t="shared" si="112"/>
        <v>1+8.7i</v>
      </c>
      <c r="V278" t="str">
        <f t="shared" si="113"/>
        <v>-0.000501202886928629i</v>
      </c>
      <c r="W278" t="str">
        <f t="shared" si="121"/>
        <v>0.000921104901339431-0.00851481552858168i</v>
      </c>
      <c r="X278">
        <f t="shared" si="122"/>
        <v>-41.34596816458221</v>
      </c>
      <c r="Y278">
        <f t="shared" si="123"/>
        <v>-83.825938603550668</v>
      </c>
      <c r="Z278">
        <f t="shared" si="124"/>
        <v>138464.80048994895</v>
      </c>
      <c r="AA278">
        <f t="shared" ca="1" si="114"/>
        <v>-39.214638536471483</v>
      </c>
      <c r="AB278">
        <f t="shared" ca="1" si="115"/>
        <v>-7.9371177127088401</v>
      </c>
    </row>
    <row r="279" spans="1:28" x14ac:dyDescent="0.2">
      <c r="A279">
        <v>880000</v>
      </c>
      <c r="B279" t="str">
        <f t="shared" si="116"/>
        <v>880000i</v>
      </c>
      <c r="C279" t="str">
        <f t="shared" ca="1" si="102"/>
        <v>1+11.8398621815852i</v>
      </c>
      <c r="D279" t="str">
        <f t="shared" ca="1" si="103"/>
        <v>1+6.21587195578555i</v>
      </c>
      <c r="E279" t="str">
        <f t="shared" ca="1" si="104"/>
        <v>1+4022.27142290712i</v>
      </c>
      <c r="F279">
        <f t="shared" ca="1" si="105"/>
        <v>69.486139019499433</v>
      </c>
      <c r="G279" t="str">
        <f t="shared" ca="1" si="117"/>
        <v>0.311607283064354+1.25418252898981i</v>
      </c>
      <c r="H279">
        <f t="shared" ca="1" si="118"/>
        <v>2.2273543272819771</v>
      </c>
      <c r="I279">
        <f t="shared" ca="1" si="119"/>
        <v>76.047128991970268</v>
      </c>
      <c r="K279" t="str">
        <f t="shared" ca="1" si="106"/>
        <v>1+11.8398621815852i</v>
      </c>
      <c r="L279" t="str">
        <f t="shared" ca="1" si="107"/>
        <v>1-3.2570840431061i</v>
      </c>
      <c r="M279" t="str">
        <f t="shared" ca="1" si="108"/>
        <v>1+3788.75589810726i</v>
      </c>
      <c r="N279" t="str">
        <f t="shared" si="109"/>
        <v>1+9.53517114766515i</v>
      </c>
      <c r="O279">
        <f t="shared" ca="1" si="110"/>
        <v>30.873410267617786</v>
      </c>
      <c r="P279" t="str">
        <f t="shared" ca="1" si="125"/>
        <v>-0.0326791012714157-0.0107709252290159i</v>
      </c>
      <c r="Q279">
        <f t="shared" ca="1" si="120"/>
        <v>-29.266715938098763</v>
      </c>
      <c r="R279">
        <f t="shared" ca="1" si="126"/>
        <v>-161.75794863341801</v>
      </c>
      <c r="T279" t="str">
        <f t="shared" si="111"/>
        <v>1+151.36i</v>
      </c>
      <c r="U279" t="str">
        <f t="shared" si="112"/>
        <v>1+8.8i</v>
      </c>
      <c r="V279" t="str">
        <f t="shared" si="113"/>
        <v>-0.000495507399577167i</v>
      </c>
      <c r="W279" t="str">
        <f t="shared" si="121"/>
        <v>0.000900555008716483-0.00842039147628222i</v>
      </c>
      <c r="X279">
        <f t="shared" si="122"/>
        <v>-41.4439610195504</v>
      </c>
      <c r="Y279">
        <f t="shared" si="123"/>
        <v>-83.895460569085927</v>
      </c>
      <c r="Z279">
        <f t="shared" si="124"/>
        <v>140056.34992086791</v>
      </c>
      <c r="AA279">
        <f t="shared" ca="1" si="114"/>
        <v>-39.216606692268421</v>
      </c>
      <c r="AB279">
        <f t="shared" ca="1" si="115"/>
        <v>-7.8483315771156583</v>
      </c>
    </row>
    <row r="280" spans="1:28" x14ac:dyDescent="0.2">
      <c r="A280">
        <v>890000</v>
      </c>
      <c r="B280" t="str">
        <f t="shared" si="116"/>
        <v>890000i</v>
      </c>
      <c r="C280" t="str">
        <f t="shared" ca="1" si="102"/>
        <v>1+11.9744060700123i</v>
      </c>
      <c r="D280" t="str">
        <f t="shared" ca="1" si="103"/>
        <v>1+6.28650686437402i</v>
      </c>
      <c r="E280" t="str">
        <f t="shared" ca="1" si="104"/>
        <v>1+4067.97905271288i</v>
      </c>
      <c r="F280">
        <f t="shared" ca="1" si="105"/>
        <v>69.486139019499433</v>
      </c>
      <c r="G280" t="str">
        <f t="shared" ca="1" si="117"/>
        <v>0.311607187521829+1.26882326816718i</v>
      </c>
      <c r="H280">
        <f t="shared" ca="1" si="118"/>
        <v>2.3223645333236602</v>
      </c>
      <c r="I280">
        <f t="shared" ca="1" si="119"/>
        <v>76.201946198956833</v>
      </c>
      <c r="K280" t="str">
        <f t="shared" ca="1" si="106"/>
        <v>1+11.9744060700123i</v>
      </c>
      <c r="L280" t="str">
        <f t="shared" ca="1" si="107"/>
        <v>1-3.29409636177776i</v>
      </c>
      <c r="M280" t="str">
        <f t="shared" ca="1" si="108"/>
        <v>1+3831.80994240394i</v>
      </c>
      <c r="N280" t="str">
        <f t="shared" si="109"/>
        <v>1+9.64352536525226i</v>
      </c>
      <c r="O280">
        <f t="shared" ca="1" si="110"/>
        <v>30.873410267617786</v>
      </c>
      <c r="P280" t="str">
        <f t="shared" ca="1" si="125"/>
        <v>-0.0326852244557487-0.010650533577762i</v>
      </c>
      <c r="Q280">
        <f t="shared" ca="1" si="120"/>
        <v>-29.274715360444677</v>
      </c>
      <c r="R280">
        <f t="shared" ca="1" si="126"/>
        <v>-161.95171635573848</v>
      </c>
      <c r="T280" t="str">
        <f t="shared" si="111"/>
        <v>1+153.08i</v>
      </c>
      <c r="U280" t="str">
        <f t="shared" si="112"/>
        <v>1+8.9i</v>
      </c>
      <c r="V280" t="str">
        <f t="shared" si="113"/>
        <v>-0.000489939900705514i</v>
      </c>
      <c r="W280" t="str">
        <f t="shared" si="121"/>
        <v>0.000880682394760267-0.00832801321407189i</v>
      </c>
      <c r="X280">
        <f t="shared" si="122"/>
        <v>-41.540874568804796</v>
      </c>
      <c r="Y280">
        <f t="shared" si="123"/>
        <v>-83.963441169479296</v>
      </c>
      <c r="Z280">
        <f t="shared" si="124"/>
        <v>141647.89935178685</v>
      </c>
      <c r="AA280">
        <f t="shared" ca="1" si="114"/>
        <v>-39.218510035481138</v>
      </c>
      <c r="AB280">
        <f t="shared" ca="1" si="115"/>
        <v>-7.7614949705224632</v>
      </c>
    </row>
    <row r="281" spans="1:28" x14ac:dyDescent="0.2">
      <c r="A281">
        <v>900000</v>
      </c>
      <c r="B281" t="str">
        <f t="shared" si="116"/>
        <v>900000i</v>
      </c>
      <c r="C281" t="str">
        <f t="shared" ca="1" si="102"/>
        <v>1+12.1089499584394i</v>
      </c>
      <c r="D281" t="str">
        <f t="shared" ca="1" si="103"/>
        <v>1+6.35714177296249i</v>
      </c>
      <c r="E281" t="str">
        <f t="shared" ca="1" si="104"/>
        <v>1+4113.68668251864i</v>
      </c>
      <c r="F281">
        <f t="shared" ca="1" si="105"/>
        <v>69.486139019499433</v>
      </c>
      <c r="G281" t="str">
        <f t="shared" ca="1" si="117"/>
        <v>0.31160709514633+1.28345971324406i</v>
      </c>
      <c r="H281">
        <f t="shared" ca="1" si="118"/>
        <v>2.4163806555430383</v>
      </c>
      <c r="I281">
        <f t="shared" ca="1" si="119"/>
        <v>76.353386028918521</v>
      </c>
      <c r="K281" t="str">
        <f t="shared" ca="1" si="106"/>
        <v>1+12.1089499584394i</v>
      </c>
      <c r="L281" t="str">
        <f t="shared" ca="1" si="107"/>
        <v>1-3.33110868044942i</v>
      </c>
      <c r="M281" t="str">
        <f t="shared" ca="1" si="108"/>
        <v>1+3874.86398670061i</v>
      </c>
      <c r="N281" t="str">
        <f t="shared" si="109"/>
        <v>1+9.75187958283936i</v>
      </c>
      <c r="O281">
        <f t="shared" ca="1" si="110"/>
        <v>30.873410267617786</v>
      </c>
      <c r="P281" t="str">
        <f t="shared" ca="1" si="125"/>
        <v>-0.0326911474798224-0.0105327969342268i</v>
      </c>
      <c r="Q281">
        <f t="shared" ca="1" si="120"/>
        <v>-29.282464838082291</v>
      </c>
      <c r="R281">
        <f t="shared" ca="1" si="126"/>
        <v>-162.14152112305575</v>
      </c>
      <c r="T281" t="str">
        <f t="shared" si="111"/>
        <v>1+154.8i</v>
      </c>
      <c r="U281" t="str">
        <f t="shared" si="112"/>
        <v>1+9i</v>
      </c>
      <c r="V281" t="str">
        <f t="shared" si="113"/>
        <v>-0.000484496124031008i</v>
      </c>
      <c r="W281" t="str">
        <f t="shared" si="121"/>
        <v>0.000861457742484403-0.00823761580639063i</v>
      </c>
      <c r="X281">
        <f t="shared" si="122"/>
        <v>-41.636732024648367</v>
      </c>
      <c r="Y281">
        <f t="shared" si="123"/>
        <v>-84.029930880258959</v>
      </c>
      <c r="Z281">
        <f t="shared" si="124"/>
        <v>143239.44878270582</v>
      </c>
      <c r="AA281">
        <f t="shared" ca="1" si="114"/>
        <v>-39.22035136910533</v>
      </c>
      <c r="AB281">
        <f t="shared" ca="1" si="115"/>
        <v>-7.676544851340438</v>
      </c>
    </row>
    <row r="282" spans="1:28" x14ac:dyDescent="0.2">
      <c r="A282">
        <v>910000</v>
      </c>
      <c r="B282" t="str">
        <f t="shared" si="116"/>
        <v>910000i</v>
      </c>
      <c r="C282" t="str">
        <f t="shared" ca="1" si="102"/>
        <v>1+12.2434938468665i</v>
      </c>
      <c r="D282" t="str">
        <f t="shared" ca="1" si="103"/>
        <v>1+6.42777668155096i</v>
      </c>
      <c r="E282" t="str">
        <f t="shared" ca="1" si="104"/>
        <v>1+4159.39431232441i</v>
      </c>
      <c r="F282">
        <f t="shared" ca="1" si="105"/>
        <v>69.486139019499433</v>
      </c>
      <c r="G282" t="str">
        <f t="shared" ca="1" si="117"/>
        <v>0.311607005799412+1.29809200578416i</v>
      </c>
      <c r="H282">
        <f t="shared" ca="1" si="118"/>
        <v>2.5094225216594261</v>
      </c>
      <c r="I282">
        <f t="shared" ca="1" si="119"/>
        <v>76.501557158999461</v>
      </c>
      <c r="K282" t="str">
        <f t="shared" ca="1" si="106"/>
        <v>1+12.2434938468665i</v>
      </c>
      <c r="L282" t="str">
        <f t="shared" ca="1" si="107"/>
        <v>1-3.36812099912108i</v>
      </c>
      <c r="M282" t="str">
        <f t="shared" ca="1" si="108"/>
        <v>1+3917.91803099728i</v>
      </c>
      <c r="N282" t="str">
        <f t="shared" si="109"/>
        <v>1+9.86023380042646i</v>
      </c>
      <c r="O282">
        <f t="shared" ca="1" si="110"/>
        <v>30.873410267617786</v>
      </c>
      <c r="P282" t="str">
        <f t="shared" ca="1" si="125"/>
        <v>-0.0326968789442044-0.0104176286358846i</v>
      </c>
      <c r="Q282">
        <f t="shared" ca="1" si="120"/>
        <v>-29.289974532733055</v>
      </c>
      <c r="R282">
        <f t="shared" ca="1" si="126"/>
        <v>-162.32747994556223</v>
      </c>
      <c r="T282" t="str">
        <f t="shared" si="111"/>
        <v>1+156.52i</v>
      </c>
      <c r="U282" t="str">
        <f t="shared" si="112"/>
        <v>1+9.1i</v>
      </c>
      <c r="V282" t="str">
        <f t="shared" si="113"/>
        <v>-0.000479171990799898i</v>
      </c>
      <c r="W282" t="str">
        <f t="shared" si="121"/>
        <v>0.000842853297741569-0.00814913700024818i</v>
      </c>
      <c r="X282">
        <f t="shared" si="122"/>
        <v>-41.731555868506902</v>
      </c>
      <c r="Y282">
        <f t="shared" si="123"/>
        <v>-84.094978006353458</v>
      </c>
      <c r="Z282">
        <f t="shared" si="124"/>
        <v>144830.99821362476</v>
      </c>
      <c r="AA282">
        <f t="shared" ca="1" si="114"/>
        <v>-39.222133346847478</v>
      </c>
      <c r="AB282">
        <f t="shared" ca="1" si="115"/>
        <v>-7.5934208473539968</v>
      </c>
    </row>
    <row r="283" spans="1:28" x14ac:dyDescent="0.2">
      <c r="A283">
        <v>920000</v>
      </c>
      <c r="B283" t="str">
        <f t="shared" si="116"/>
        <v>920000i</v>
      </c>
      <c r="C283" t="str">
        <f t="shared" ca="1" si="102"/>
        <v>1+12.3780377352936i</v>
      </c>
      <c r="D283" t="str">
        <f t="shared" ca="1" si="103"/>
        <v>1+6.49841159013944i</v>
      </c>
      <c r="E283" t="str">
        <f t="shared" ca="1" si="104"/>
        <v>1+4205.10194213017i</v>
      </c>
      <c r="F283">
        <f t="shared" ca="1" si="105"/>
        <v>69.486139019499433</v>
      </c>
      <c r="G283" t="str">
        <f t="shared" ca="1" si="117"/>
        <v>0.311606919350119+1.31272028119627i</v>
      </c>
      <c r="H283">
        <f t="shared" ca="1" si="118"/>
        <v>2.6015093983283153</v>
      </c>
      <c r="I283">
        <f t="shared" ca="1" si="119"/>
        <v>76.646563680090409</v>
      </c>
      <c r="K283" t="str">
        <f t="shared" ca="1" si="106"/>
        <v>1+12.3780377352936i</v>
      </c>
      <c r="L283" t="str">
        <f t="shared" ca="1" si="107"/>
        <v>1-3.40513331779274i</v>
      </c>
      <c r="M283" t="str">
        <f t="shared" ca="1" si="108"/>
        <v>1+3960.97207529396i</v>
      </c>
      <c r="N283" t="str">
        <f t="shared" si="109"/>
        <v>1+9.96858801801357i</v>
      </c>
      <c r="O283">
        <f t="shared" ca="1" si="110"/>
        <v>30.873410267617786</v>
      </c>
      <c r="P283" t="str">
        <f t="shared" ca="1" si="125"/>
        <v>-0.0327024269939781-0.0103049457428303i</v>
      </c>
      <c r="Q283">
        <f t="shared" ca="1" si="120"/>
        <v>-29.297254101974126</v>
      </c>
      <c r="R283">
        <f t="shared" ca="1" si="126"/>
        <v>-162.50970540588941</v>
      </c>
      <c r="T283" t="str">
        <f t="shared" si="111"/>
        <v>1+158.24i</v>
      </c>
      <c r="U283" t="str">
        <f t="shared" si="112"/>
        <v>1+9.2i</v>
      </c>
      <c r="V283" t="str">
        <f t="shared" si="113"/>
        <v>-0.000473963599595551i</v>
      </c>
      <c r="W283" t="str">
        <f t="shared" si="121"/>
        <v>0.000824842770711361-0.00806251709014007i</v>
      </c>
      <c r="X283">
        <f t="shared" si="122"/>
        <v>-41.825367880855623</v>
      </c>
      <c r="Y283">
        <f t="shared" si="123"/>
        <v>-84.158628797024477</v>
      </c>
      <c r="Z283">
        <f t="shared" si="124"/>
        <v>146422.54764454372</v>
      </c>
      <c r="AA283">
        <f t="shared" ca="1" si="114"/>
        <v>-39.223858482527305</v>
      </c>
      <c r="AB283">
        <f t="shared" ca="1" si="115"/>
        <v>-7.5120651169340675</v>
      </c>
    </row>
    <row r="284" spans="1:28" x14ac:dyDescent="0.2">
      <c r="A284">
        <v>930000</v>
      </c>
      <c r="B284" t="str">
        <f t="shared" si="116"/>
        <v>930000i</v>
      </c>
      <c r="C284" t="str">
        <f t="shared" ca="1" si="102"/>
        <v>1+12.5125816237207i</v>
      </c>
      <c r="D284" t="str">
        <f t="shared" ca="1" si="103"/>
        <v>1+6.56904649872791i</v>
      </c>
      <c r="E284" t="str">
        <f t="shared" ca="1" si="104"/>
        <v>1+4250.80957193593i</v>
      </c>
      <c r="F284">
        <f t="shared" ca="1" si="105"/>
        <v>69.486139019499433</v>
      </c>
      <c r="G284" t="str">
        <f t="shared" ca="1" si="117"/>
        <v>0.311606835674489+1.32734466906514i</v>
      </c>
      <c r="H284">
        <f t="shared" ca="1" si="118"/>
        <v>2.6926600108540799</v>
      </c>
      <c r="I284">
        <f t="shared" ca="1" si="119"/>
        <v>76.788505334847059</v>
      </c>
      <c r="K284" t="str">
        <f t="shared" ca="1" si="106"/>
        <v>1+12.5125816237207i</v>
      </c>
      <c r="L284" t="str">
        <f t="shared" ca="1" si="107"/>
        <v>1-3.4421456364644i</v>
      </c>
      <c r="M284" t="str">
        <f t="shared" ca="1" si="108"/>
        <v>1+4004.02611959063i</v>
      </c>
      <c r="N284" t="str">
        <f t="shared" si="109"/>
        <v>1+10.0769422356007i</v>
      </c>
      <c r="O284">
        <f t="shared" ca="1" si="110"/>
        <v>30.873410267617786</v>
      </c>
      <c r="P284" t="str">
        <f t="shared" ca="1" si="125"/>
        <v>-0.0327077993472895-0.0101946688404474i</v>
      </c>
      <c r="Q284">
        <f t="shared" ca="1" si="120"/>
        <v>-29.304312728545653</v>
      </c>
      <c r="R284">
        <f t="shared" ca="1" si="126"/>
        <v>-162.68830585985452</v>
      </c>
      <c r="T284" t="str">
        <f t="shared" si="111"/>
        <v>1+159.96i</v>
      </c>
      <c r="U284" t="str">
        <f t="shared" si="112"/>
        <v>1+9.3i</v>
      </c>
      <c r="V284" t="str">
        <f t="shared" si="113"/>
        <v>-0.000468867216804201i</v>
      </c>
      <c r="W284" t="str">
        <f t="shared" si="121"/>
        <v>0.000807401244527614-0.00797769879091101i</v>
      </c>
      <c r="X284">
        <f t="shared" si="122"/>
        <v>-41.918189169653814</v>
      </c>
      <c r="Y284">
        <f t="shared" si="123"/>
        <v>-84.220927553605165</v>
      </c>
      <c r="Z284">
        <f t="shared" si="124"/>
        <v>148014.09707546266</v>
      </c>
      <c r="AA284">
        <f t="shared" ca="1" si="114"/>
        <v>-39.225529158799738</v>
      </c>
      <c r="AB284">
        <f t="shared" ca="1" si="115"/>
        <v>-7.4324222187581057</v>
      </c>
    </row>
    <row r="285" spans="1:28" x14ac:dyDescent="0.2">
      <c r="A285">
        <v>940000</v>
      </c>
      <c r="B285" t="str">
        <f t="shared" si="116"/>
        <v>940000i</v>
      </c>
      <c r="C285" t="str">
        <f t="shared" ca="1" si="102"/>
        <v>1+12.6471255121478i</v>
      </c>
      <c r="D285" t="str">
        <f t="shared" ca="1" si="103"/>
        <v>1+6.63968140731638i</v>
      </c>
      <c r="E285" t="str">
        <f t="shared" ca="1" si="104"/>
        <v>1+4296.5172017417i</v>
      </c>
      <c r="F285">
        <f t="shared" ca="1" si="105"/>
        <v>69.486139019499433</v>
      </c>
      <c r="G285" t="str">
        <f t="shared" ca="1" si="117"/>
        <v>0.311606754655129+1.34196529346125i</v>
      </c>
      <c r="H285">
        <f t="shared" ca="1" si="118"/>
        <v>2.7828925621229721</v>
      </c>
      <c r="I285">
        <f t="shared" ca="1" si="119"/>
        <v>76.927477741120484</v>
      </c>
      <c r="K285" t="str">
        <f t="shared" ca="1" si="106"/>
        <v>1+12.6471255121478i</v>
      </c>
      <c r="L285" t="str">
        <f t="shared" ca="1" si="107"/>
        <v>1-3.47915795513606i</v>
      </c>
      <c r="M285" t="str">
        <f t="shared" ca="1" si="108"/>
        <v>1+4047.0801638873i</v>
      </c>
      <c r="N285" t="str">
        <f t="shared" si="109"/>
        <v>1+10.1852964531878i</v>
      </c>
      <c r="O285">
        <f t="shared" ca="1" si="110"/>
        <v>30.873410267617786</v>
      </c>
      <c r="P285" t="str">
        <f t="shared" ca="1" si="125"/>
        <v>-0.0327130033218358-0.0100867218544719i</v>
      </c>
      <c r="Q285">
        <f t="shared" ca="1" si="120"/>
        <v>-29.311159147716786</v>
      </c>
      <c r="R285">
        <f t="shared" ca="1" si="126"/>
        <v>-162.8633856267852</v>
      </c>
      <c r="T285" t="str">
        <f t="shared" si="111"/>
        <v>1+161.68i</v>
      </c>
      <c r="U285" t="str">
        <f t="shared" si="112"/>
        <v>1+9.4i</v>
      </c>
      <c r="V285" t="str">
        <f t="shared" si="113"/>
        <v>-0.000463879267689263i</v>
      </c>
      <c r="W285" t="str">
        <f t="shared" si="121"/>
        <v>0.00079050509046241-0.00789462711803591i</v>
      </c>
      <c r="X285">
        <f t="shared" si="122"/>
        <v>-42.010040197374046</v>
      </c>
      <c r="Y285">
        <f t="shared" si="123"/>
        <v>-84.281916730561534</v>
      </c>
      <c r="Z285">
        <f t="shared" si="124"/>
        <v>149605.64650638163</v>
      </c>
      <c r="AA285">
        <f t="shared" ca="1" si="114"/>
        <v>-39.227147635251072</v>
      </c>
      <c r="AB285">
        <f t="shared" ca="1" si="115"/>
        <v>-7.35443898944105</v>
      </c>
    </row>
    <row r="286" spans="1:28" x14ac:dyDescent="0.2">
      <c r="A286">
        <v>950000</v>
      </c>
      <c r="B286" t="str">
        <f t="shared" si="116"/>
        <v>950000i</v>
      </c>
      <c r="C286" t="str">
        <f t="shared" ca="1" si="102"/>
        <v>1+12.7816694005749i</v>
      </c>
      <c r="D286" t="str">
        <f t="shared" ca="1" si="103"/>
        <v>1+6.71031631590485i</v>
      </c>
      <c r="E286" t="str">
        <f t="shared" ca="1" si="104"/>
        <v>1+4342.22483154746i</v>
      </c>
      <c r="F286">
        <f t="shared" ca="1" si="105"/>
        <v>69.486139019499433</v>
      </c>
      <c r="G286" t="str">
        <f t="shared" ca="1" si="117"/>
        <v>0.311606676180786+1.3565822732311i</v>
      </c>
      <c r="H286">
        <f t="shared" ca="1" si="118"/>
        <v>2.872224750787244</v>
      </c>
      <c r="I286">
        <f t="shared" ca="1" si="119"/>
        <v>77.063572601829989</v>
      </c>
      <c r="K286" t="str">
        <f t="shared" ca="1" si="106"/>
        <v>1+12.7816694005749i</v>
      </c>
      <c r="L286" t="str">
        <f t="shared" ca="1" si="107"/>
        <v>1-3.51617027380772i</v>
      </c>
      <c r="M286" t="str">
        <f t="shared" ca="1" si="108"/>
        <v>1+4090.13420818398i</v>
      </c>
      <c r="N286" t="str">
        <f t="shared" si="109"/>
        <v>1+10.2936506707749i</v>
      </c>
      <c r="O286">
        <f t="shared" ca="1" si="110"/>
        <v>30.873410267617786</v>
      </c>
      <c r="P286" t="str">
        <f t="shared" ca="1" si="125"/>
        <v>-0.0327180458594605-0.00998103187755286i</v>
      </c>
      <c r="Q286">
        <f t="shared" ca="1" si="120"/>
        <v>-29.31780167285477</v>
      </c>
      <c r="R286">
        <f t="shared" ca="1" si="126"/>
        <v>-163.03504517002179</v>
      </c>
      <c r="T286" t="str">
        <f t="shared" si="111"/>
        <v>1+163.4i</v>
      </c>
      <c r="U286" t="str">
        <f t="shared" si="112"/>
        <v>1+9.5i</v>
      </c>
      <c r="V286" t="str">
        <f t="shared" si="113"/>
        <v>-0.000458996328029376i</v>
      </c>
      <c r="W286" t="str">
        <f t="shared" si="121"/>
        <v>0.000774131889136668-0.00781324927482772i</v>
      </c>
      <c r="X286">
        <f t="shared" si="122"/>
        <v>-42.100940806707293</v>
      </c>
      <c r="Y286">
        <f t="shared" si="123"/>
        <v>-84.3416370303528</v>
      </c>
      <c r="Z286">
        <f t="shared" si="124"/>
        <v>151197.19593730057</v>
      </c>
      <c r="AA286">
        <f t="shared" ca="1" si="114"/>
        <v>-39.228716055920046</v>
      </c>
      <c r="AB286">
        <f t="shared" ca="1" si="115"/>
        <v>-7.2780644285228107</v>
      </c>
    </row>
    <row r="287" spans="1:28" x14ac:dyDescent="0.2">
      <c r="A287">
        <v>960000</v>
      </c>
      <c r="B287" t="str">
        <f t="shared" si="116"/>
        <v>960000i</v>
      </c>
      <c r="C287" t="str">
        <f t="shared" ca="1" si="102"/>
        <v>1+12.916213289002i</v>
      </c>
      <c r="D287" t="str">
        <f t="shared" ca="1" si="103"/>
        <v>1+6.78095122449333i</v>
      </c>
      <c r="E287" t="str">
        <f t="shared" ca="1" si="104"/>
        <v>1+4387.93246135322i</v>
      </c>
      <c r="F287">
        <f t="shared" ca="1" si="105"/>
        <v>69.486139019499433</v>
      </c>
      <c r="G287" t="str">
        <f t="shared" ca="1" si="117"/>
        <v>0.311606600145971+1.37119572226924i</v>
      </c>
      <c r="H287">
        <f t="shared" ca="1" si="118"/>
        <v>2.960673788729022</v>
      </c>
      <c r="I287">
        <f t="shared" ca="1" si="119"/>
        <v>77.196877902218958</v>
      </c>
      <c r="K287" t="str">
        <f t="shared" ca="1" si="106"/>
        <v>1+12.916213289002i</v>
      </c>
      <c r="L287" t="str">
        <f t="shared" ca="1" si="107"/>
        <v>1-3.55318259247938i</v>
      </c>
      <c r="M287" t="str">
        <f t="shared" ca="1" si="108"/>
        <v>1+4133.18825248065i</v>
      </c>
      <c r="N287" t="str">
        <f t="shared" si="109"/>
        <v>1+10.402004888362i</v>
      </c>
      <c r="O287">
        <f t="shared" ca="1" si="110"/>
        <v>30.873410267617786</v>
      </c>
      <c r="P287" t="str">
        <f t="shared" ca="1" si="125"/>
        <v>-0.0327229335490124-0.00987752900648882i</v>
      </c>
      <c r="Q287">
        <f t="shared" ca="1" si="120"/>
        <v>-29.324248219327362</v>
      </c>
      <c r="R287">
        <f t="shared" ca="1" si="126"/>
        <v>-163.20338126815534</v>
      </c>
      <c r="T287" t="str">
        <f t="shared" si="111"/>
        <v>1+165.12i</v>
      </c>
      <c r="U287" t="str">
        <f t="shared" si="112"/>
        <v>1+9.6i</v>
      </c>
      <c r="V287" t="str">
        <f t="shared" si="113"/>
        <v>-0.00045421511627907i</v>
      </c>
      <c r="W287" t="str">
        <f t="shared" si="121"/>
        <v>0.000758260357274806-0.00773351454611721i</v>
      </c>
      <c r="X287">
        <f t="shared" si="122"/>
        <v>-42.190910245019559</v>
      </c>
      <c r="Y287">
        <f t="shared" si="123"/>
        <v>-84.40012749252827</v>
      </c>
      <c r="Z287">
        <f t="shared" si="124"/>
        <v>152788.74536821953</v>
      </c>
      <c r="AA287">
        <f t="shared" ca="1" si="114"/>
        <v>-39.230236456290534</v>
      </c>
      <c r="AB287">
        <f t="shared" ca="1" si="115"/>
        <v>-7.2032495903093121</v>
      </c>
    </row>
    <row r="288" spans="1:28" x14ac:dyDescent="0.2">
      <c r="A288">
        <v>970000</v>
      </c>
      <c r="B288" t="str">
        <f t="shared" si="116"/>
        <v>970000i</v>
      </c>
      <c r="C288" t="str">
        <f t="shared" ca="1" si="102"/>
        <v>1+13.0507571774291i</v>
      </c>
      <c r="D288" t="str">
        <f t="shared" ca="1" si="103"/>
        <v>1+6.8515861330818i</v>
      </c>
      <c r="E288" t="str">
        <f t="shared" ca="1" si="104"/>
        <v>1+4433.64009115898i</v>
      </c>
      <c r="F288">
        <f t="shared" ca="1" si="105"/>
        <v>69.486139019499433</v>
      </c>
      <c r="G288" t="str">
        <f t="shared" ca="1" si="117"/>
        <v>0.311606526450606+1.38580574977352i</v>
      </c>
      <c r="H288">
        <f t="shared" ca="1" si="118"/>
        <v>3.0482564178339207</v>
      </c>
      <c r="I288">
        <f t="shared" ca="1" si="119"/>
        <v>77.327478095367425</v>
      </c>
      <c r="K288" t="str">
        <f t="shared" ca="1" si="106"/>
        <v>1+13.0507571774291i</v>
      </c>
      <c r="L288" t="str">
        <f t="shared" ca="1" si="107"/>
        <v>1-3.59019491115104i</v>
      </c>
      <c r="M288" t="str">
        <f t="shared" ca="1" si="108"/>
        <v>1+4176.24229677732i</v>
      </c>
      <c r="N288" t="str">
        <f t="shared" si="109"/>
        <v>1+10.5103591059491i</v>
      </c>
      <c r="O288">
        <f t="shared" ca="1" si="110"/>
        <v>30.873410267617786</v>
      </c>
      <c r="P288" t="str">
        <f t="shared" ca="1" si="125"/>
        <v>-0.0327276726476019-0.00977614618937965i</v>
      </c>
      <c r="Q288">
        <f t="shared" ca="1" si="120"/>
        <v>-29.330506326861496</v>
      </c>
      <c r="R288">
        <f t="shared" ca="1" si="126"/>
        <v>-163.36848717753102</v>
      </c>
      <c r="T288" t="str">
        <f t="shared" si="111"/>
        <v>1+166.84i</v>
      </c>
      <c r="U288" t="str">
        <f t="shared" si="112"/>
        <v>1+9.7i</v>
      </c>
      <c r="V288" t="str">
        <f t="shared" si="113"/>
        <v>-0.000449532486214337i</v>
      </c>
      <c r="W288" t="str">
        <f t="shared" si="121"/>
        <v>0.000742870279563792-0.00765537419798311i</v>
      </c>
      <c r="X288">
        <f t="shared" si="122"/>
        <v>-42.279967187630987</v>
      </c>
      <c r="Y288">
        <f t="shared" si="123"/>
        <v>-84.457425577463184</v>
      </c>
      <c r="Z288">
        <f t="shared" si="124"/>
        <v>154380.29479913847</v>
      </c>
      <c r="AA288">
        <f t="shared" ca="1" si="114"/>
        <v>-39.231710769797068</v>
      </c>
      <c r="AB288">
        <f t="shared" ca="1" si="115"/>
        <v>-7.1299474820957585</v>
      </c>
    </row>
    <row r="289" spans="1:28" x14ac:dyDescent="0.2">
      <c r="A289">
        <v>980000</v>
      </c>
      <c r="B289" t="str">
        <f t="shared" si="116"/>
        <v>980000i</v>
      </c>
      <c r="C289" t="str">
        <f t="shared" ca="1" si="102"/>
        <v>1+13.1853010658562i</v>
      </c>
      <c r="D289" t="str">
        <f t="shared" ca="1" si="103"/>
        <v>1+6.92222104167027i</v>
      </c>
      <c r="E289" t="str">
        <f t="shared" ca="1" si="104"/>
        <v>1+4479.34772096475i</v>
      </c>
      <c r="F289">
        <f t="shared" ca="1" si="105"/>
        <v>69.486139019499433</v>
      </c>
      <c r="G289" t="str">
        <f t="shared" ca="1" si="117"/>
        <v>0.311606454999688+1.40041246048476i</v>
      </c>
      <c r="H289">
        <f t="shared" ca="1" si="118"/>
        <v>3.1349889261023547</v>
      </c>
      <c r="I289">
        <f t="shared" ca="1" si="119"/>
        <v>77.45545427676501</v>
      </c>
      <c r="K289" t="str">
        <f t="shared" ca="1" si="106"/>
        <v>1+13.1853010658562i</v>
      </c>
      <c r="L289" t="str">
        <f t="shared" ca="1" si="107"/>
        <v>1-3.6272072298227i</v>
      </c>
      <c r="M289" t="str">
        <f t="shared" ca="1" si="108"/>
        <v>1+4219.296341074i</v>
      </c>
      <c r="N289" t="str">
        <f t="shared" si="109"/>
        <v>1+10.6187133235362i</v>
      </c>
      <c r="O289">
        <f t="shared" ca="1" si="110"/>
        <v>30.873410267617786</v>
      </c>
      <c r="P289" t="str">
        <f t="shared" ca="1" si="125"/>
        <v>-0.0327322691003846-0.00967681908199982i</v>
      </c>
      <c r="Q289">
        <f t="shared" ca="1" si="120"/>
        <v>-29.336583180468381</v>
      </c>
      <c r="R289">
        <f t="shared" ca="1" si="126"/>
        <v>-163.53045278650853</v>
      </c>
      <c r="T289" t="str">
        <f t="shared" si="111"/>
        <v>1+168.56i</v>
      </c>
      <c r="U289" t="str">
        <f t="shared" si="112"/>
        <v>1+9.8i</v>
      </c>
      <c r="V289" t="str">
        <f t="shared" si="113"/>
        <v>-0.000444945420028477i</v>
      </c>
      <c r="W289" t="str">
        <f t="shared" si="121"/>
        <v>0.000727942445215592-0.00757878138314128i</v>
      </c>
      <c r="X289">
        <f t="shared" si="122"/>
        <v>-42.368129759983724</v>
      </c>
      <c r="Y289">
        <f t="shared" si="123"/>
        <v>-84.513567245105094</v>
      </c>
      <c r="Z289">
        <f t="shared" si="124"/>
        <v>155971.84423005744</v>
      </c>
      <c r="AA289">
        <f t="shared" ca="1" si="114"/>
        <v>-39.233140833881372</v>
      </c>
      <c r="AB289">
        <f t="shared" ca="1" si="115"/>
        <v>-7.0581129683400832</v>
      </c>
    </row>
    <row r="290" spans="1:28" x14ac:dyDescent="0.2">
      <c r="A290">
        <v>990000</v>
      </c>
      <c r="B290" t="str">
        <f t="shared" si="116"/>
        <v>990000i</v>
      </c>
      <c r="C290" t="str">
        <f t="shared" ca="1" si="102"/>
        <v>1+13.3198449542833i</v>
      </c>
      <c r="D290" t="str">
        <f t="shared" ca="1" si="103"/>
        <v>1+6.99285595025874i</v>
      </c>
      <c r="E290" t="str">
        <f t="shared" ca="1" si="104"/>
        <v>1+4525.05535077051i</v>
      </c>
      <c r="F290">
        <f t="shared" ca="1" si="105"/>
        <v>69.486139019499433</v>
      </c>
      <c r="G290" t="str">
        <f t="shared" ca="1" si="117"/>
        <v>0.311606385702997+1.41501595491182i</v>
      </c>
      <c r="H290">
        <f t="shared" ca="1" si="118"/>
        <v>3.2208871631251257</v>
      </c>
      <c r="I290">
        <f t="shared" ca="1" si="119"/>
        <v>77.580884348682943</v>
      </c>
      <c r="K290" t="str">
        <f t="shared" ca="1" si="106"/>
        <v>1+13.3198449542833i</v>
      </c>
      <c r="L290" t="str">
        <f t="shared" ca="1" si="107"/>
        <v>1-3.66421954849436i</v>
      </c>
      <c r="M290" t="str">
        <f t="shared" ca="1" si="108"/>
        <v>1+4262.35038537067i</v>
      </c>
      <c r="N290" t="str">
        <f t="shared" si="109"/>
        <v>1+10.7270675411233i</v>
      </c>
      <c r="O290">
        <f t="shared" ca="1" si="110"/>
        <v>30.873410267617786</v>
      </c>
      <c r="P290" t="str">
        <f t="shared" ca="1" si="125"/>
        <v>-0.0327367285589852-0.00957948591275018i</v>
      </c>
      <c r="Q290">
        <f t="shared" ca="1" si="120"/>
        <v>-29.34248563003856</v>
      </c>
      <c r="R290">
        <f t="shared" ca="1" si="126"/>
        <v>-163.68936476194594</v>
      </c>
      <c r="T290" t="str">
        <f t="shared" si="111"/>
        <v>1+170.28i</v>
      </c>
      <c r="U290" t="str">
        <f t="shared" si="112"/>
        <v>1+9.9i</v>
      </c>
      <c r="V290" t="str">
        <f t="shared" si="113"/>
        <v>-0.000440451021846371i</v>
      </c>
      <c r="W290" t="str">
        <f t="shared" si="121"/>
        <v>0.000713458588866994-0.00750369105162961i</v>
      </c>
      <c r="X290">
        <f t="shared" si="122"/>
        <v>-42.45541555876067</v>
      </c>
      <c r="Y290">
        <f t="shared" si="123"/>
        <v>-84.568587029072546</v>
      </c>
      <c r="Z290">
        <f t="shared" si="124"/>
        <v>157563.39366097638</v>
      </c>
      <c r="AA290">
        <f t="shared" ca="1" si="114"/>
        <v>-39.234528395635543</v>
      </c>
      <c r="AB290">
        <f t="shared" ca="1" si="115"/>
        <v>-6.987702680389603</v>
      </c>
    </row>
    <row r="291" spans="1:28" x14ac:dyDescent="0.2">
      <c r="A291">
        <v>1000000</v>
      </c>
      <c r="B291" t="str">
        <f t="shared" si="116"/>
        <v>1000000i</v>
      </c>
      <c r="C291" t="str">
        <f t="shared" ca="1" si="102"/>
        <v>1+13.4543888427104i</v>
      </c>
      <c r="D291" t="str">
        <f t="shared" ca="1" si="103"/>
        <v>1+7.06349085884721i</v>
      </c>
      <c r="E291" t="str">
        <f t="shared" ca="1" si="104"/>
        <v>1+4570.76298057627i</v>
      </c>
      <c r="F291">
        <f t="shared" ca="1" si="105"/>
        <v>69.486139019499433</v>
      </c>
      <c r="G291" t="str">
        <f t="shared" ca="1" si="117"/>
        <v>0.311606318474796+1.42961632954321i</v>
      </c>
      <c r="H291">
        <f t="shared" ca="1" si="118"/>
        <v>3.3059665549501234</v>
      </c>
      <c r="I291">
        <f t="shared" ca="1" si="119"/>
        <v>77.703843175033967</v>
      </c>
      <c r="K291" t="str">
        <f t="shared" ca="1" si="106"/>
        <v>1+13.4543888427104i</v>
      </c>
      <c r="L291" t="str">
        <f t="shared" ca="1" si="107"/>
        <v>1-3.70123186716602i</v>
      </c>
      <c r="M291" t="str">
        <f t="shared" ca="1" si="108"/>
        <v>1+4305.40442966734i</v>
      </c>
      <c r="N291" t="str">
        <f t="shared" si="109"/>
        <v>1+10.8354217587104i</v>
      </c>
      <c r="O291">
        <f t="shared" ca="1" si="110"/>
        <v>30.873410267617786</v>
      </c>
      <c r="P291" t="str">
        <f t="shared" ca="1" si="125"/>
        <v>-0.0327410563986686-0.00948408735559834i</v>
      </c>
      <c r="Q291">
        <f t="shared" ca="1" si="120"/>
        <v>-29.348220208701008</v>
      </c>
      <c r="R291">
        <f t="shared" ca="1" si="126"/>
        <v>-163.84530668834202</v>
      </c>
      <c r="T291" t="str">
        <f t="shared" si="111"/>
        <v>1+172i</v>
      </c>
      <c r="U291" t="str">
        <f t="shared" si="112"/>
        <v>1+10i</v>
      </c>
      <c r="V291" t="str">
        <f t="shared" si="113"/>
        <v>-0.000436046511627907i</v>
      </c>
      <c r="W291" t="str">
        <f t="shared" si="121"/>
        <v>0.000699401335482385-0.00743005986645176i</v>
      </c>
      <c r="X291">
        <f t="shared" si="122"/>
        <v>-42.541841672013092</v>
      </c>
      <c r="Y291">
        <f t="shared" si="123"/>
        <v>-84.622518106421737</v>
      </c>
      <c r="Z291">
        <f t="shared" si="124"/>
        <v>159154.94309189534</v>
      </c>
      <c r="AA291">
        <f t="shared" ca="1" si="114"/>
        <v>-39.235875117062967</v>
      </c>
      <c r="AB291">
        <f t="shared" ca="1" si="115"/>
        <v>-6.9186749313877698</v>
      </c>
    </row>
    <row r="292" spans="1:28" x14ac:dyDescent="0.2">
      <c r="A292">
        <v>1100000</v>
      </c>
      <c r="B292" t="str">
        <f t="shared" si="116"/>
        <v>1100000i</v>
      </c>
      <c r="C292" t="str">
        <f t="shared" ca="1" si="102"/>
        <v>1+14.7998277269815i</v>
      </c>
      <c r="D292" t="str">
        <f t="shared" ca="1" si="103"/>
        <v>1+7.76983994473194i</v>
      </c>
      <c r="E292" t="str">
        <f t="shared" ca="1" si="104"/>
        <v>1+5027.8392786339i</v>
      </c>
      <c r="F292">
        <f t="shared" ca="1" si="105"/>
        <v>69.486139019499433</v>
      </c>
      <c r="G292" t="str">
        <f t="shared" ca="1" si="117"/>
        <v>0.311605743825685+1.57546720586581i</v>
      </c>
      <c r="H292">
        <f t="shared" ca="1" si="118"/>
        <v>4.1148418769452428</v>
      </c>
      <c r="I292">
        <f t="shared" ca="1" si="119"/>
        <v>78.812079650195315</v>
      </c>
      <c r="K292" t="str">
        <f t="shared" ca="1" si="106"/>
        <v>1+14.7998277269815i</v>
      </c>
      <c r="L292" t="str">
        <f t="shared" ca="1" si="107"/>
        <v>1-4.07135505388262i</v>
      </c>
      <c r="M292" t="str">
        <f t="shared" ca="1" si="108"/>
        <v>1+4735.94487263408i</v>
      </c>
      <c r="N292" t="str">
        <f t="shared" si="109"/>
        <v>1+11.9189639345814i</v>
      </c>
      <c r="O292">
        <f t="shared" ca="1" si="110"/>
        <v>30.873410267617786</v>
      </c>
      <c r="P292" t="str">
        <f t="shared" ca="1" si="125"/>
        <v>-0.0327781098224593-0.00862498217766782i</v>
      </c>
      <c r="Q292">
        <f t="shared" ca="1" si="120"/>
        <v>-29.397575385086633</v>
      </c>
      <c r="R292">
        <f t="shared" ca="1" si="126"/>
        <v>-165.25780416751459</v>
      </c>
      <c r="T292" t="str">
        <f t="shared" si="111"/>
        <v>1+189.2i</v>
      </c>
      <c r="U292" t="str">
        <f t="shared" si="112"/>
        <v>1+11i</v>
      </c>
      <c r="V292" t="str">
        <f t="shared" si="113"/>
        <v>-0.000396405919661734i</v>
      </c>
      <c r="W292" t="str">
        <f t="shared" si="121"/>
        <v>0.000579012581014107-0.00676554431081691i</v>
      </c>
      <c r="X292">
        <f t="shared" si="122"/>
        <v>-43.362251717913537</v>
      </c>
      <c r="Y292">
        <f t="shared" si="123"/>
        <v>-85.108400087992976</v>
      </c>
      <c r="Z292">
        <f t="shared" si="124"/>
        <v>175070.43740108487</v>
      </c>
      <c r="AA292">
        <f t="shared" ca="1" si="114"/>
        <v>-39.247409840968295</v>
      </c>
      <c r="AB292">
        <f t="shared" ca="1" si="115"/>
        <v>-6.2963204377976609</v>
      </c>
    </row>
    <row r="293" spans="1:28" x14ac:dyDescent="0.2">
      <c r="A293">
        <v>1200000</v>
      </c>
      <c r="B293" t="str">
        <f t="shared" si="116"/>
        <v>1200000i</v>
      </c>
      <c r="C293" t="str">
        <f t="shared" ca="1" si="102"/>
        <v>1+16.1452666112525i</v>
      </c>
      <c r="D293" t="str">
        <f t="shared" ca="1" si="103"/>
        <v>1+8.47618903061666i</v>
      </c>
      <c r="E293" t="str">
        <f t="shared" ca="1" si="104"/>
        <v>1+5484.91557669153i</v>
      </c>
      <c r="F293">
        <f t="shared" ca="1" si="105"/>
        <v>69.486139019499433</v>
      </c>
      <c r="G293" t="str">
        <f t="shared" ca="1" si="117"/>
        <v>0.311605306757903+1.72108877719424i</v>
      </c>
      <c r="H293">
        <f t="shared" ca="1" si="118"/>
        <v>4.8561418028222487</v>
      </c>
      <c r="I293">
        <f t="shared" ca="1" si="119"/>
        <v>79.737694038730098</v>
      </c>
      <c r="K293" t="str">
        <f t="shared" ca="1" si="106"/>
        <v>1+16.1452666112525i</v>
      </c>
      <c r="L293" t="str">
        <f t="shared" ca="1" si="107"/>
        <v>1-4.44147824059922i</v>
      </c>
      <c r="M293" t="str">
        <f t="shared" ca="1" si="108"/>
        <v>1+5166.48531560081i</v>
      </c>
      <c r="N293" t="str">
        <f t="shared" si="109"/>
        <v>1+13.0025061104525i</v>
      </c>
      <c r="O293">
        <f t="shared" ca="1" si="110"/>
        <v>30.873410267617786</v>
      </c>
      <c r="P293" t="str">
        <f t="shared" ca="1" si="125"/>
        <v>-0.0328063643351985-0.00790838979768642i</v>
      </c>
      <c r="Q293">
        <f t="shared" ca="1" si="120"/>
        <v>-29.435524766608587</v>
      </c>
      <c r="R293">
        <f t="shared" ca="1" si="126"/>
        <v>-166.44671014036891</v>
      </c>
      <c r="T293" t="str">
        <f t="shared" si="111"/>
        <v>1+206.4i</v>
      </c>
      <c r="U293" t="str">
        <f t="shared" si="112"/>
        <v>1+12i</v>
      </c>
      <c r="V293" t="str">
        <f t="shared" si="113"/>
        <v>-0.000363372093023256i</v>
      </c>
      <c r="W293" t="str">
        <f t="shared" si="121"/>
        <v>0.000487169206094627-0.00620940256615878i</v>
      </c>
      <c r="X293">
        <f t="shared" si="122"/>
        <v>-44.112352810948103</v>
      </c>
      <c r="Y293">
        <f t="shared" si="123"/>
        <v>-85.513951968216247</v>
      </c>
      <c r="Z293">
        <f t="shared" si="124"/>
        <v>190985.93171027442</v>
      </c>
      <c r="AA293">
        <f t="shared" ca="1" si="114"/>
        <v>-39.256211008125852</v>
      </c>
      <c r="AB293">
        <f t="shared" ca="1" si="115"/>
        <v>-5.7762579294861496</v>
      </c>
    </row>
    <row r="294" spans="1:28" x14ac:dyDescent="0.2">
      <c r="A294">
        <v>1300000</v>
      </c>
      <c r="B294" t="str">
        <f t="shared" si="116"/>
        <v>1300000i</v>
      </c>
      <c r="C294" t="str">
        <f t="shared" ca="1" si="102"/>
        <v>1+17.4907054955236i</v>
      </c>
      <c r="D294" t="str">
        <f t="shared" ca="1" si="103"/>
        <v>1+9.18253811650138i</v>
      </c>
      <c r="E294" t="str">
        <f t="shared" ca="1" si="104"/>
        <v>1+5941.99187474915i</v>
      </c>
      <c r="F294">
        <f t="shared" ca="1" si="105"/>
        <v>69.486139019499433</v>
      </c>
      <c r="G294" t="str">
        <f t="shared" ca="1" si="117"/>
        <v>0.311604966616392+1.8665339600588i</v>
      </c>
      <c r="H294">
        <f t="shared" ca="1" si="118"/>
        <v>5.5400998211731025</v>
      </c>
      <c r="I294">
        <f t="shared" ca="1" si="119"/>
        <v>80.522268054454983</v>
      </c>
      <c r="K294" t="str">
        <f t="shared" ca="1" si="106"/>
        <v>1+17.4907054955236i</v>
      </c>
      <c r="L294" t="str">
        <f t="shared" ca="1" si="107"/>
        <v>1-4.81160142731582i</v>
      </c>
      <c r="M294" t="str">
        <f t="shared" ca="1" si="108"/>
        <v>1+5597.02575856755i</v>
      </c>
      <c r="N294" t="str">
        <f t="shared" si="109"/>
        <v>1+14.0860482863235i</v>
      </c>
      <c r="O294">
        <f t="shared" ca="1" si="110"/>
        <v>30.873410267617786</v>
      </c>
      <c r="P294" t="str">
        <f t="shared" ca="1" si="125"/>
        <v>-0.0328283963909298-0.00730160410658977i</v>
      </c>
      <c r="Q294">
        <f t="shared" ca="1" si="120"/>
        <v>-29.465308549294434</v>
      </c>
      <c r="R294">
        <f t="shared" ca="1" si="126"/>
        <v>-167.46054022000982</v>
      </c>
      <c r="T294" t="str">
        <f t="shared" si="111"/>
        <v>1+223.6i</v>
      </c>
      <c r="U294" t="str">
        <f t="shared" si="112"/>
        <v>1+13i</v>
      </c>
      <c r="V294" t="str">
        <f t="shared" si="113"/>
        <v>-0.000335420393559928i</v>
      </c>
      <c r="W294" t="str">
        <f t="shared" si="121"/>
        <v>0.000415526675786593-0.00573726717878564i</v>
      </c>
      <c r="X294">
        <f t="shared" si="122"/>
        <v>-44.803177082639706</v>
      </c>
      <c r="Y294">
        <f t="shared" si="123"/>
        <v>-85.857535242153745</v>
      </c>
      <c r="Z294">
        <f t="shared" si="124"/>
        <v>206901.42601946395</v>
      </c>
      <c r="AA294">
        <f t="shared" ca="1" si="114"/>
        <v>-39.263077261466606</v>
      </c>
      <c r="AB294">
        <f t="shared" ca="1" si="115"/>
        <v>-5.3352671876987614</v>
      </c>
    </row>
    <row r="295" spans="1:28" x14ac:dyDescent="0.2">
      <c r="A295">
        <v>1400000</v>
      </c>
      <c r="B295" t="str">
        <f t="shared" si="116"/>
        <v>1400000i</v>
      </c>
      <c r="C295" t="str">
        <f t="shared" ca="1" si="102"/>
        <v>1+18.8361443797946i</v>
      </c>
      <c r="D295" t="str">
        <f t="shared" ca="1" si="103"/>
        <v>1+9.8888872023861i</v>
      </c>
      <c r="E295" t="str">
        <f t="shared" ca="1" si="104"/>
        <v>1+6399.06817280678i</v>
      </c>
      <c r="F295">
        <f t="shared" ca="1" si="105"/>
        <v>69.486139019499433</v>
      </c>
      <c r="G295" t="str">
        <f t="shared" ca="1" si="117"/>
        <v>0.311604696724512+2.01184055198323i</v>
      </c>
      <c r="H295">
        <f t="shared" ca="1" si="118"/>
        <v>6.1748261151406254</v>
      </c>
      <c r="I295">
        <f t="shared" ca="1" si="119"/>
        <v>81.195680059482754</v>
      </c>
      <c r="K295" t="str">
        <f t="shared" ca="1" si="106"/>
        <v>1+18.8361443797946i</v>
      </c>
      <c r="L295" t="str">
        <f t="shared" ca="1" si="107"/>
        <v>1-5.18172461403243i</v>
      </c>
      <c r="M295" t="str">
        <f t="shared" ca="1" si="108"/>
        <v>1+6027.56620153428i</v>
      </c>
      <c r="N295" t="str">
        <f t="shared" si="109"/>
        <v>1+15.1695904621946i</v>
      </c>
      <c r="O295">
        <f t="shared" ca="1" si="110"/>
        <v>30.873410267617786</v>
      </c>
      <c r="P295" t="str">
        <f t="shared" ca="1" si="125"/>
        <v>-0.0328459052551461-0.00678120623491523i</v>
      </c>
      <c r="Q295">
        <f t="shared" ca="1" si="120"/>
        <v>-29.489099239256653</v>
      </c>
      <c r="R295">
        <f t="shared" ca="1" si="126"/>
        <v>-168.33488535713551</v>
      </c>
      <c r="T295" t="str">
        <f t="shared" si="111"/>
        <v>1+240.8i</v>
      </c>
      <c r="U295" t="str">
        <f t="shared" si="112"/>
        <v>1+14i</v>
      </c>
      <c r="V295" t="str">
        <f t="shared" si="113"/>
        <v>-0.000311461794019934i</v>
      </c>
      <c r="W295" t="str">
        <f t="shared" si="121"/>
        <v>0.000358576319206706-0.00533153026291381i</v>
      </c>
      <c r="X295">
        <f t="shared" si="122"/>
        <v>-45.443362096233706</v>
      </c>
      <c r="Y295">
        <f t="shared" si="123"/>
        <v>-86.152321135902099</v>
      </c>
      <c r="Z295">
        <f t="shared" si="124"/>
        <v>222816.92032865348</v>
      </c>
      <c r="AA295">
        <f t="shared" ca="1" si="114"/>
        <v>-39.268535981093081</v>
      </c>
      <c r="AB295">
        <f t="shared" ca="1" si="115"/>
        <v>-4.9566410764193449</v>
      </c>
    </row>
    <row r="296" spans="1:28" x14ac:dyDescent="0.2">
      <c r="A296">
        <v>1500000</v>
      </c>
      <c r="B296" t="str">
        <f t="shared" si="116"/>
        <v>1500000i</v>
      </c>
      <c r="C296" t="str">
        <f t="shared" ca="1" si="102"/>
        <v>1+20.1815832640657i</v>
      </c>
      <c r="D296" t="str">
        <f t="shared" ca="1" si="103"/>
        <v>1+10.5952362882708i</v>
      </c>
      <c r="E296" t="str">
        <f t="shared" ca="1" si="104"/>
        <v>1+6856.14447086441i</v>
      </c>
      <c r="F296">
        <f t="shared" ca="1" si="105"/>
        <v>69.486139019499433</v>
      </c>
      <c r="G296" t="str">
        <f t="shared" ca="1" si="117"/>
        <v>0.311604478989515+2.15703627115298i</v>
      </c>
      <c r="H296">
        <f t="shared" ca="1" si="118"/>
        <v>6.7668472491081646</v>
      </c>
      <c r="I296">
        <f t="shared" ca="1" si="119"/>
        <v>81.779943219057913</v>
      </c>
      <c r="K296" t="str">
        <f t="shared" ca="1" si="106"/>
        <v>1+20.1815832640657i</v>
      </c>
      <c r="L296" t="str">
        <f t="shared" ca="1" si="107"/>
        <v>1-5.55184780074903i</v>
      </c>
      <c r="M296" t="str">
        <f t="shared" ca="1" si="108"/>
        <v>1+6458.10664450101i</v>
      </c>
      <c r="N296" t="str">
        <f t="shared" si="109"/>
        <v>1+16.2531326380656i</v>
      </c>
      <c r="O296">
        <f t="shared" ca="1" si="110"/>
        <v>30.873410267617786</v>
      </c>
      <c r="P296" t="str">
        <f t="shared" ca="1" si="125"/>
        <v>-0.0328600480279793-0.0063299892525283i</v>
      </c>
      <c r="Q296">
        <f t="shared" ca="1" si="120"/>
        <v>-29.508395560552742</v>
      </c>
      <c r="R296">
        <f t="shared" ca="1" si="126"/>
        <v>-169.09639975572858</v>
      </c>
      <c r="T296" t="str">
        <f t="shared" si="111"/>
        <v>1+258i</v>
      </c>
      <c r="U296" t="str">
        <f t="shared" si="112"/>
        <v>1+15i</v>
      </c>
      <c r="V296" t="str">
        <f t="shared" si="113"/>
        <v>-0.000290697674418605i</v>
      </c>
      <c r="W296" t="str">
        <f t="shared" si="121"/>
        <v>0.000312564313644783-0.00497916237909035i</v>
      </c>
      <c r="X296">
        <f t="shared" si="122"/>
        <v>-46.039793879481046</v>
      </c>
      <c r="Y296">
        <f t="shared" si="123"/>
        <v>-86.408000718403116</v>
      </c>
      <c r="Z296">
        <f t="shared" si="124"/>
        <v>238732.414637843</v>
      </c>
      <c r="AA296">
        <f t="shared" ca="1" si="114"/>
        <v>-39.272946630372878</v>
      </c>
      <c r="AB296">
        <f t="shared" ca="1" si="115"/>
        <v>-4.6280574993452035</v>
      </c>
    </row>
    <row r="297" spans="1:28" x14ac:dyDescent="0.2">
      <c r="A297">
        <v>1600000</v>
      </c>
      <c r="B297" t="str">
        <f t="shared" si="116"/>
        <v>1600000i</v>
      </c>
      <c r="C297" t="str">
        <f t="shared" ca="1" si="102"/>
        <v>1+21.5270221483367i</v>
      </c>
      <c r="D297" t="str">
        <f t="shared" ca="1" si="103"/>
        <v>1+11.3015853741555i</v>
      </c>
      <c r="E297" t="str">
        <f t="shared" ca="1" si="104"/>
        <v>1+7313.22076892203i</v>
      </c>
      <c r="F297">
        <f t="shared" ca="1" si="105"/>
        <v>69.486139019499433</v>
      </c>
      <c r="G297" t="str">
        <f t="shared" ca="1" si="117"/>
        <v>0.311604300789373+2.30214190620781i</v>
      </c>
      <c r="H297">
        <f t="shared" ca="1" si="118"/>
        <v>7.3214876445506167</v>
      </c>
      <c r="I297">
        <f t="shared" ca="1" si="119"/>
        <v>82.291628969073813</v>
      </c>
      <c r="K297" t="str">
        <f t="shared" ca="1" si="106"/>
        <v>1+21.5270221483367i</v>
      </c>
      <c r="L297" t="str">
        <f t="shared" ca="1" si="107"/>
        <v>1-5.92197098746563i</v>
      </c>
      <c r="M297" t="str">
        <f t="shared" ca="1" si="108"/>
        <v>1+6888.64708746775i</v>
      </c>
      <c r="N297" t="str">
        <f t="shared" si="109"/>
        <v>1+17.3366748139366i</v>
      </c>
      <c r="O297">
        <f t="shared" ca="1" si="110"/>
        <v>30.873410267617786</v>
      </c>
      <c r="P297" t="str">
        <f t="shared" ca="1" si="125"/>
        <v>-0.0328716345101353-0.00593502808755727i</v>
      </c>
      <c r="Q297">
        <f t="shared" ca="1" si="120"/>
        <v>-29.524257425555852</v>
      </c>
      <c r="R297">
        <f t="shared" ca="1" si="126"/>
        <v>-169.76541354117649</v>
      </c>
      <c r="T297" t="str">
        <f t="shared" si="111"/>
        <v>1+275.2i</v>
      </c>
      <c r="U297" t="str">
        <f t="shared" si="112"/>
        <v>1+16i</v>
      </c>
      <c r="V297" t="str">
        <f t="shared" si="113"/>
        <v>-0.000272529069767442i</v>
      </c>
      <c r="W297" t="str">
        <f t="shared" si="121"/>
        <v>0.000274862003438603-0.00467032112478509i</v>
      </c>
      <c r="X297">
        <f t="shared" si="122"/>
        <v>-46.598048621927688</v>
      </c>
      <c r="Y297">
        <f t="shared" si="123"/>
        <v>-86.631861581901759</v>
      </c>
      <c r="Z297">
        <f t="shared" si="124"/>
        <v>254647.90894703256</v>
      </c>
      <c r="AA297">
        <f t="shared" ca="1" si="114"/>
        <v>-39.276560977377073</v>
      </c>
      <c r="AB297">
        <f t="shared" ca="1" si="115"/>
        <v>-4.3402326128279469</v>
      </c>
    </row>
    <row r="298" spans="1:28" x14ac:dyDescent="0.2">
      <c r="A298">
        <v>1700000</v>
      </c>
      <c r="B298" t="str">
        <f t="shared" si="116"/>
        <v>1700000i</v>
      </c>
      <c r="C298" t="str">
        <f t="shared" ca="1" si="102"/>
        <v>1+22.8724610326078i</v>
      </c>
      <c r="D298" t="str">
        <f t="shared" ca="1" si="103"/>
        <v>1+12.0079344600403i</v>
      </c>
      <c r="E298" t="str">
        <f t="shared" ca="1" si="104"/>
        <v>1+7770.29706697966i</v>
      </c>
      <c r="F298">
        <f t="shared" ca="1" si="105"/>
        <v>69.486139019499433</v>
      </c>
      <c r="G298" t="str">
        <f t="shared" ca="1" si="117"/>
        <v>0.311604153101456+2.44717335434331i</v>
      </c>
      <c r="H298">
        <f t="shared" ca="1" si="118"/>
        <v>7.8431443420083795</v>
      </c>
      <c r="I298">
        <f t="shared" ca="1" si="119"/>
        <v>82.743447904686334</v>
      </c>
      <c r="K298" t="str">
        <f t="shared" ca="1" si="106"/>
        <v>1+22.8724610326078i</v>
      </c>
      <c r="L298" t="str">
        <f t="shared" ca="1" si="107"/>
        <v>1-6.29209417418223i</v>
      </c>
      <c r="M298" t="str">
        <f t="shared" ca="1" si="108"/>
        <v>1+7319.18753043448i</v>
      </c>
      <c r="N298" t="str">
        <f t="shared" si="109"/>
        <v>1+18.4202169898077i</v>
      </c>
      <c r="O298">
        <f t="shared" ca="1" si="110"/>
        <v>30.873410267617786</v>
      </c>
      <c r="P298" t="str">
        <f t="shared" ca="1" si="125"/>
        <v>-0.0328812450673047-0.00558642650397336i</v>
      </c>
      <c r="Q298">
        <f t="shared" ca="1" si="120"/>
        <v>-29.537450953426585</v>
      </c>
      <c r="R298">
        <f t="shared" ca="1" si="126"/>
        <v>-170.35768775691713</v>
      </c>
      <c r="T298" t="str">
        <f t="shared" si="111"/>
        <v>1+292.4i</v>
      </c>
      <c r="U298" t="str">
        <f t="shared" si="112"/>
        <v>1+17i</v>
      </c>
      <c r="V298" t="str">
        <f t="shared" si="113"/>
        <v>-0.000256497948016416i</v>
      </c>
      <c r="W298" t="str">
        <f t="shared" si="121"/>
        <v>0.000243584603047314-0.00439743619982075i</v>
      </c>
      <c r="X298">
        <f t="shared" si="122"/>
        <v>-47.122703915445562</v>
      </c>
      <c r="Y298">
        <f t="shared" si="123"/>
        <v>-86.829488570952691</v>
      </c>
      <c r="Z298">
        <f t="shared" si="124"/>
        <v>270563.40325622208</v>
      </c>
      <c r="AA298">
        <f t="shared" ca="1" si="114"/>
        <v>-39.279559573437183</v>
      </c>
      <c r="AB298">
        <f t="shared" ca="1" si="115"/>
        <v>-4.0860406662663564</v>
      </c>
    </row>
    <row r="299" spans="1:28" x14ac:dyDescent="0.2">
      <c r="A299">
        <v>1800000</v>
      </c>
      <c r="B299" t="str">
        <f t="shared" si="116"/>
        <v>1800000i</v>
      </c>
      <c r="C299" t="str">
        <f t="shared" ca="1" si="102"/>
        <v>1+24.2178999168788i</v>
      </c>
      <c r="D299" t="str">
        <f t="shared" ca="1" si="103"/>
        <v>1+12.714283545925i</v>
      </c>
      <c r="E299" t="str">
        <f t="shared" ca="1" si="104"/>
        <v>1+8227.37336503729i</v>
      </c>
      <c r="F299">
        <f t="shared" ca="1" si="105"/>
        <v>69.486139019499433</v>
      </c>
      <c r="G299" t="str">
        <f t="shared" ca="1" si="117"/>
        <v>0.311604029337542+2.59214298004521i</v>
      </c>
      <c r="H299">
        <f t="shared" ca="1" si="118"/>
        <v>8.3354884296062703</v>
      </c>
      <c r="I299">
        <f t="shared" ca="1" si="119"/>
        <v>83.145310626482569</v>
      </c>
      <c r="K299" t="str">
        <f t="shared" ca="1" si="106"/>
        <v>1+24.2178999168788i</v>
      </c>
      <c r="L299" t="str">
        <f t="shared" ca="1" si="107"/>
        <v>1-6.66221736089883i</v>
      </c>
      <c r="M299" t="str">
        <f t="shared" ca="1" si="108"/>
        <v>1+7749.72797340122i</v>
      </c>
      <c r="N299" t="str">
        <f t="shared" si="109"/>
        <v>1+19.5037591656787i</v>
      </c>
      <c r="O299">
        <f t="shared" ca="1" si="110"/>
        <v>30.873410267617786</v>
      </c>
      <c r="P299" t="str">
        <f t="shared" ca="1" si="125"/>
        <v>-0.0328893043733798-0.00527647950929765i</v>
      </c>
      <c r="Q299">
        <f t="shared" ca="1" si="120"/>
        <v>-29.548540701812819</v>
      </c>
      <c r="R299">
        <f t="shared" ca="1" si="126"/>
        <v>-170.88562025981358</v>
      </c>
      <c r="T299" t="str">
        <f t="shared" si="111"/>
        <v>1+309.6i</v>
      </c>
      <c r="U299" t="str">
        <f t="shared" si="112"/>
        <v>1+18i</v>
      </c>
      <c r="V299" t="str">
        <f t="shared" si="113"/>
        <v>-0.000242248062015504i</v>
      </c>
      <c r="W299" t="str">
        <f t="shared" si="121"/>
        <v>0.000217352415026834-0.00415459153249851i</v>
      </c>
      <c r="X299">
        <f t="shared" si="122"/>
        <v>-47.617563033407023</v>
      </c>
      <c r="Y299">
        <f t="shared" si="123"/>
        <v>-87.005233123881908</v>
      </c>
      <c r="Z299">
        <f t="shared" si="124"/>
        <v>286478.89756541164</v>
      </c>
      <c r="AA299">
        <f t="shared" ca="1" si="114"/>
        <v>-39.282074603800751</v>
      </c>
      <c r="AB299">
        <f t="shared" ca="1" si="115"/>
        <v>-3.8599224973993387</v>
      </c>
    </row>
    <row r="300" spans="1:28" x14ac:dyDescent="0.2">
      <c r="A300">
        <v>1900000</v>
      </c>
      <c r="B300" t="str">
        <f t="shared" si="116"/>
        <v>1900000i</v>
      </c>
      <c r="C300" t="str">
        <f t="shared" ca="1" si="102"/>
        <v>1+25.5633388011499i</v>
      </c>
      <c r="D300" t="str">
        <f t="shared" ca="1" si="103"/>
        <v>1+13.4206326318097i</v>
      </c>
      <c r="E300" t="str">
        <f t="shared" ca="1" si="104"/>
        <v>1+8684.44966309492i</v>
      </c>
      <c r="F300">
        <f t="shared" ca="1" si="105"/>
        <v>69.486139019499433</v>
      </c>
      <c r="G300" t="str">
        <f t="shared" ca="1" si="117"/>
        <v>0.311603924596149+2.73706054474986i</v>
      </c>
      <c r="H300">
        <f t="shared" ca="1" si="118"/>
        <v>8.8016151448974931</v>
      </c>
      <c r="I300">
        <f t="shared" ca="1" si="119"/>
        <v>83.50505748528991</v>
      </c>
      <c r="K300" t="str">
        <f t="shared" ca="1" si="106"/>
        <v>1+25.5633388011499i</v>
      </c>
      <c r="L300" t="str">
        <f t="shared" ca="1" si="107"/>
        <v>1-7.03234054761544i</v>
      </c>
      <c r="M300" t="str">
        <f t="shared" ca="1" si="108"/>
        <v>1+8180.26841636795i</v>
      </c>
      <c r="N300" t="str">
        <f t="shared" si="109"/>
        <v>1+20.5873013415498i</v>
      </c>
      <c r="O300">
        <f t="shared" ca="1" si="110"/>
        <v>30.873410267617786</v>
      </c>
      <c r="P300" t="str">
        <f t="shared" ca="1" si="125"/>
        <v>-0.0328961289326513-0.0049990990016601i</v>
      </c>
      <c r="Q300">
        <f t="shared" ca="1" si="120"/>
        <v>-29.557949910809103</v>
      </c>
      <c r="R300">
        <f t="shared" ca="1" si="126"/>
        <v>-171.35909149760909</v>
      </c>
      <c r="T300" t="str">
        <f t="shared" si="111"/>
        <v>1+326.8i</v>
      </c>
      <c r="U300" t="str">
        <f t="shared" si="112"/>
        <v>1+19i</v>
      </c>
      <c r="V300" t="str">
        <f t="shared" si="113"/>
        <v>-0.000229498164014688i</v>
      </c>
      <c r="W300" t="str">
        <f t="shared" si="121"/>
        <v>0.000195136836695362-0.00393709806122656i</v>
      </c>
      <c r="X300">
        <f t="shared" si="122"/>
        <v>-48.085819772740564</v>
      </c>
      <c r="Y300">
        <f t="shared" si="123"/>
        <v>-87.16253563132878</v>
      </c>
      <c r="Z300">
        <f t="shared" si="124"/>
        <v>302394.39187460113</v>
      </c>
      <c r="AA300">
        <f t="shared" ca="1" si="114"/>
        <v>-39.284204627843067</v>
      </c>
      <c r="AB300">
        <f t="shared" ca="1" si="115"/>
        <v>-3.6574781460388692</v>
      </c>
    </row>
    <row r="301" spans="1:28" x14ac:dyDescent="0.2">
      <c r="A301">
        <v>2000000</v>
      </c>
      <c r="B301" t="str">
        <f t="shared" si="116"/>
        <v>2000000i</v>
      </c>
      <c r="C301" t="str">
        <f t="shared" ca="1" si="102"/>
        <v>1+26.9087776854209i</v>
      </c>
      <c r="D301" t="str">
        <f t="shared" ca="1" si="103"/>
        <v>1+14.1269817176944i</v>
      </c>
      <c r="E301" t="str">
        <f t="shared" ca="1" si="104"/>
        <v>1+9141.52596115254i</v>
      </c>
      <c r="F301">
        <f t="shared" ca="1" si="105"/>
        <v>69.486139019499433</v>
      </c>
      <c r="G301" t="str">
        <f t="shared" ca="1" si="117"/>
        <v>0.311603835169644+2.88193385760641i</v>
      </c>
      <c r="H301">
        <f t="shared" ca="1" si="118"/>
        <v>9.2441574216525293</v>
      </c>
      <c r="I301">
        <f t="shared" ca="1" si="119"/>
        <v>83.828971681635522</v>
      </c>
      <c r="K301" t="str">
        <f t="shared" ca="1" si="106"/>
        <v>1+26.9087776854209i</v>
      </c>
      <c r="L301" t="str">
        <f t="shared" ca="1" si="107"/>
        <v>1-7.40246373433204i</v>
      </c>
      <c r="M301" t="str">
        <f t="shared" ca="1" si="108"/>
        <v>1+8610.80885933469i</v>
      </c>
      <c r="N301" t="str">
        <f t="shared" si="109"/>
        <v>1+21.6708435174208i</v>
      </c>
      <c r="O301">
        <f t="shared" ca="1" si="110"/>
        <v>30.873410267617786</v>
      </c>
      <c r="P301" t="str">
        <f t="shared" ca="1" si="125"/>
        <v>-0.03290195851239-0.00474941098618758i</v>
      </c>
      <c r="Q301">
        <f t="shared" ca="1" si="120"/>
        <v>-29.566000800387499</v>
      </c>
      <c r="R301">
        <f t="shared" ca="1" si="126"/>
        <v>-171.78606885046185</v>
      </c>
      <c r="T301" t="str">
        <f t="shared" si="111"/>
        <v>1+344i</v>
      </c>
      <c r="U301" t="str">
        <f t="shared" si="112"/>
        <v>1+20i</v>
      </c>
      <c r="V301" t="str">
        <f t="shared" si="113"/>
        <v>-0.000218023255813954i</v>
      </c>
      <c r="W301" t="str">
        <f t="shared" si="121"/>
        <v>0.000176158441106536-0.00374119207794468i</v>
      </c>
      <c r="X301">
        <f t="shared" si="122"/>
        <v>-48.530181758407778</v>
      </c>
      <c r="Y301">
        <f t="shared" si="123"/>
        <v>-87.304151803309708</v>
      </c>
      <c r="Z301">
        <f t="shared" si="124"/>
        <v>318309.88618379069</v>
      </c>
      <c r="AA301">
        <f t="shared" ca="1" si="114"/>
        <v>-39.286024336755247</v>
      </c>
      <c r="AB301">
        <f t="shared" ca="1" si="115"/>
        <v>-3.4751801216741853</v>
      </c>
    </row>
    <row r="302" spans="1:28" x14ac:dyDescent="0.2">
      <c r="A302">
        <v>2100000</v>
      </c>
      <c r="B302" t="str">
        <f t="shared" si="116"/>
        <v>2100000i</v>
      </c>
      <c r="C302" t="str">
        <f t="shared" ca="1" si="102"/>
        <v>1+28.2542165696919i</v>
      </c>
      <c r="D302" t="str">
        <f t="shared" ca="1" si="103"/>
        <v>1+14.8333308035791i</v>
      </c>
      <c r="E302" t="str">
        <f t="shared" ca="1" si="104"/>
        <v>1+9598.60225921017i</v>
      </c>
      <c r="F302">
        <f t="shared" ca="1" si="105"/>
        <v>69.486139019499433</v>
      </c>
      <c r="G302" t="str">
        <f t="shared" ca="1" si="117"/>
        <v>0.311603758211582+3.02676924030718i</v>
      </c>
      <c r="H302">
        <f t="shared" ca="1" si="118"/>
        <v>9.6653729745673207</v>
      </c>
      <c r="I302">
        <f t="shared" ca="1" si="119"/>
        <v>84.122147136384982</v>
      </c>
      <c r="K302" t="str">
        <f t="shared" ca="1" si="106"/>
        <v>1+28.2542165696919i</v>
      </c>
      <c r="L302" t="str">
        <f t="shared" ca="1" si="107"/>
        <v>1-7.77258692104864i</v>
      </c>
      <c r="M302" t="str">
        <f t="shared" ca="1" si="108"/>
        <v>1+9041.34930230142i</v>
      </c>
      <c r="N302" t="str">
        <f t="shared" si="109"/>
        <v>1+22.7543856932918i</v>
      </c>
      <c r="O302">
        <f t="shared" ca="1" si="110"/>
        <v>30.873410267617786</v>
      </c>
      <c r="P302" t="str">
        <f t="shared" ca="1" si="125"/>
        <v>-0.0329069774195457-0.00452346742963112i</v>
      </c>
      <c r="Q302">
        <f t="shared" ca="1" si="120"/>
        <v>-29.572942106942328</v>
      </c>
      <c r="R302">
        <f t="shared" ca="1" si="126"/>
        <v>-172.17304581634056</v>
      </c>
      <c r="T302" t="str">
        <f t="shared" si="111"/>
        <v>1+361.2i</v>
      </c>
      <c r="U302" t="str">
        <f t="shared" si="112"/>
        <v>1+21i</v>
      </c>
      <c r="V302" t="str">
        <f t="shared" si="113"/>
        <v>-0.000207641196013289i</v>
      </c>
      <c r="W302" t="str">
        <f t="shared" si="121"/>
        <v>0.000159817952225613-0.00356381819275116i</v>
      </c>
      <c r="X302">
        <f t="shared" si="122"/>
        <v>-48.952964137698238</v>
      </c>
      <c r="Y302">
        <f t="shared" si="123"/>
        <v>-87.432314789940961</v>
      </c>
      <c r="Z302">
        <f t="shared" si="124"/>
        <v>334225.38049298024</v>
      </c>
      <c r="AA302">
        <f t="shared" ca="1" si="114"/>
        <v>-39.287591163130919</v>
      </c>
      <c r="AB302">
        <f t="shared" ca="1" si="115"/>
        <v>-3.310167653555979</v>
      </c>
    </row>
    <row r="303" spans="1:28" x14ac:dyDescent="0.2">
      <c r="A303">
        <v>2200000</v>
      </c>
      <c r="B303" t="str">
        <f t="shared" si="116"/>
        <v>2200000i</v>
      </c>
      <c r="C303" t="str">
        <f t="shared" ca="1" si="102"/>
        <v>1+29.599655453963i</v>
      </c>
      <c r="D303" t="str">
        <f t="shared" ca="1" si="103"/>
        <v>1+15.5396798894639i</v>
      </c>
      <c r="E303" t="str">
        <f t="shared" ca="1" si="104"/>
        <v>1+10055.6785572678i</v>
      </c>
      <c r="F303">
        <f t="shared" ca="1" si="105"/>
        <v>69.486139019499433</v>
      </c>
      <c r="G303" t="str">
        <f t="shared" ca="1" si="117"/>
        <v>0.311603691507357+3.17157186514592i</v>
      </c>
      <c r="H303">
        <f t="shared" ca="1" si="118"/>
        <v>10.067211936499183</v>
      </c>
      <c r="I303">
        <f t="shared" ca="1" si="119"/>
        <v>84.388756880947497</v>
      </c>
      <c r="K303" t="str">
        <f t="shared" ca="1" si="106"/>
        <v>1+29.599655453963i</v>
      </c>
      <c r="L303" t="str">
        <f t="shared" ca="1" si="107"/>
        <v>1-8.14271010776524i</v>
      </c>
      <c r="M303" t="str">
        <f t="shared" ca="1" si="108"/>
        <v>1+9471.88974526815i</v>
      </c>
      <c r="N303" t="str">
        <f t="shared" si="109"/>
        <v>1+23.8379278691629i</v>
      </c>
      <c r="O303">
        <f t="shared" ca="1" si="110"/>
        <v>30.873410267617786</v>
      </c>
      <c r="P303" t="str">
        <f t="shared" ca="1" si="125"/>
        <v>-0.0329113292036358-0.00431803642649897i</v>
      </c>
      <c r="Q303">
        <f t="shared" ca="1" si="120"/>
        <v>-29.578968265488449</v>
      </c>
      <c r="R303">
        <f t="shared" ca="1" si="126"/>
        <v>-172.52536612417057</v>
      </c>
      <c r="T303" t="str">
        <f t="shared" si="111"/>
        <v>1+378.4i</v>
      </c>
      <c r="U303" t="str">
        <f t="shared" si="112"/>
        <v>1+22i</v>
      </c>
      <c r="V303" t="str">
        <f t="shared" si="113"/>
        <v>-0.000198202959830867i</v>
      </c>
      <c r="W303" t="str">
        <f t="shared" si="121"/>
        <v>0.000145648525533445-0.00340247052156667i</v>
      </c>
      <c r="X303">
        <f t="shared" si="122"/>
        <v>-49.356161787620891</v>
      </c>
      <c r="Y303">
        <f t="shared" si="123"/>
        <v>-87.548853352814831</v>
      </c>
      <c r="Z303">
        <f t="shared" si="124"/>
        <v>350140.87480216974</v>
      </c>
      <c r="AA303">
        <f t="shared" ca="1" si="114"/>
        <v>-39.288949851121707</v>
      </c>
      <c r="AB303">
        <f t="shared" ca="1" si="115"/>
        <v>-3.1600964718673339</v>
      </c>
    </row>
    <row r="304" spans="1:28" x14ac:dyDescent="0.2">
      <c r="A304">
        <v>2300000</v>
      </c>
      <c r="B304" t="str">
        <f t="shared" si="116"/>
        <v>2300000i</v>
      </c>
      <c r="C304" t="str">
        <f t="shared" ca="1" si="102"/>
        <v>1+30.945094338234i</v>
      </c>
      <c r="D304" t="str">
        <f t="shared" ca="1" si="103"/>
        <v>1+16.2460289753486i</v>
      </c>
      <c r="E304" t="str">
        <f t="shared" ca="1" si="104"/>
        <v>1+10512.7548553254i</v>
      </c>
      <c r="F304">
        <f t="shared" ca="1" si="105"/>
        <v>69.486139019499433</v>
      </c>
      <c r="G304" t="str">
        <f t="shared" ca="1" si="117"/>
        <v>0.311603633313074+3.31634600488706i</v>
      </c>
      <c r="H304">
        <f t="shared" ca="1" si="118"/>
        <v>10.451370002267751</v>
      </c>
      <c r="I304">
        <f t="shared" ca="1" si="119"/>
        <v>84.632251970038823</v>
      </c>
      <c r="K304" t="str">
        <f t="shared" ca="1" si="106"/>
        <v>1+30.945094338234i</v>
      </c>
      <c r="L304" t="str">
        <f t="shared" ca="1" si="107"/>
        <v>1-8.51283329448184i</v>
      </c>
      <c r="M304" t="str">
        <f t="shared" ca="1" si="108"/>
        <v>1+9902.43018823489i</v>
      </c>
      <c r="N304" t="str">
        <f t="shared" si="109"/>
        <v>1+24.9214700450339i</v>
      </c>
      <c r="O304">
        <f t="shared" ca="1" si="110"/>
        <v>30.873410267617786</v>
      </c>
      <c r="P304" t="str">
        <f t="shared" ca="1" si="125"/>
        <v>-0.0329151270074766-0.00413044693119867i</v>
      </c>
      <c r="Q304">
        <f t="shared" ca="1" si="120"/>
        <v>-29.584233007105251</v>
      </c>
      <c r="R304">
        <f t="shared" ca="1" si="126"/>
        <v>-172.84746631030694</v>
      </c>
      <c r="T304" t="str">
        <f t="shared" si="111"/>
        <v>1+395.6i</v>
      </c>
      <c r="U304" t="str">
        <f t="shared" si="112"/>
        <v>1+23i</v>
      </c>
      <c r="V304" t="str">
        <f t="shared" si="113"/>
        <v>-0.00018958543983822i</v>
      </c>
      <c r="W304" t="str">
        <f t="shared" si="121"/>
        <v>0.000133282141290039-0.00325507468950912i</v>
      </c>
      <c r="X304">
        <f t="shared" si="122"/>
        <v>-49.741505677702953</v>
      </c>
      <c r="Y304">
        <f t="shared" si="123"/>
        <v>-87.655279376982932</v>
      </c>
      <c r="Z304">
        <f t="shared" si="124"/>
        <v>366056.36911135929</v>
      </c>
      <c r="AA304">
        <f t="shared" ca="1" si="114"/>
        <v>-39.290135675435202</v>
      </c>
      <c r="AB304">
        <f t="shared" ca="1" si="115"/>
        <v>-3.0230274069441094</v>
      </c>
    </row>
    <row r="305" spans="1:28" x14ac:dyDescent="0.2">
      <c r="A305">
        <v>2400000</v>
      </c>
      <c r="B305" t="str">
        <f t="shared" si="116"/>
        <v>2400000i</v>
      </c>
      <c r="C305" t="str">
        <f t="shared" ca="1" si="102"/>
        <v>1+32.2905332225051i</v>
      </c>
      <c r="D305" t="str">
        <f t="shared" ca="1" si="103"/>
        <v>1+16.9523780612333i</v>
      </c>
      <c r="E305" t="str">
        <f t="shared" ca="1" si="104"/>
        <v>1+10969.8311533831i</v>
      </c>
      <c r="F305">
        <f t="shared" ca="1" si="105"/>
        <v>69.486139019499433</v>
      </c>
      <c r="G305" t="str">
        <f t="shared" ca="1" si="117"/>
        <v>0.311603582240404+3.46109522016765i</v>
      </c>
      <c r="H305">
        <f t="shared" ca="1" si="118"/>
        <v>10.819330630715653</v>
      </c>
      <c r="I305">
        <f t="shared" ca="1" si="119"/>
        <v>84.855511014447629</v>
      </c>
      <c r="K305" t="str">
        <f t="shared" ca="1" si="106"/>
        <v>1+32.2905332225051i</v>
      </c>
      <c r="L305" t="str">
        <f t="shared" ca="1" si="107"/>
        <v>1-8.88295648119845i</v>
      </c>
      <c r="M305" t="str">
        <f t="shared" ca="1" si="108"/>
        <v>1+10332.9706312016i</v>
      </c>
      <c r="N305" t="str">
        <f t="shared" si="109"/>
        <v>1+26.005012220905i</v>
      </c>
      <c r="O305">
        <f t="shared" ca="1" si="110"/>
        <v>30.873410267617786</v>
      </c>
      <c r="P305" t="str">
        <f t="shared" ca="1" si="125"/>
        <v>-0.032918460977464-0.00395847219495809i</v>
      </c>
      <c r="Q305">
        <f t="shared" ca="1" si="120"/>
        <v>-29.588859151650645</v>
      </c>
      <c r="R305">
        <f t="shared" ca="1" si="126"/>
        <v>-173.14305962226709</v>
      </c>
      <c r="T305" t="str">
        <f t="shared" si="111"/>
        <v>1+412.8i</v>
      </c>
      <c r="U305" t="str">
        <f t="shared" si="112"/>
        <v>1+24i</v>
      </c>
      <c r="V305" t="str">
        <f t="shared" si="113"/>
        <v>-0.000181686046511628i</v>
      </c>
      <c r="W305" t="str">
        <f t="shared" si="121"/>
        <v>0.000122425537060175-0.00311989893595583i</v>
      </c>
      <c r="X305">
        <f t="shared" si="122"/>
        <v>-50.110507377607043</v>
      </c>
      <c r="Y305">
        <f t="shared" si="123"/>
        <v>-87.752853613591455</v>
      </c>
      <c r="Z305">
        <f t="shared" si="124"/>
        <v>381971.86342054885</v>
      </c>
      <c r="AA305">
        <f t="shared" ca="1" si="114"/>
        <v>-39.291176746891388</v>
      </c>
      <c r="AB305">
        <f t="shared" ca="1" si="115"/>
        <v>-2.8973425991438262</v>
      </c>
    </row>
    <row r="306" spans="1:28" x14ac:dyDescent="0.2">
      <c r="A306">
        <v>2500000</v>
      </c>
      <c r="B306" t="str">
        <f t="shared" si="116"/>
        <v>2500000i</v>
      </c>
      <c r="C306" t="str">
        <f t="shared" ca="1" si="102"/>
        <v>1+33.6359721067761i</v>
      </c>
      <c r="D306" t="str">
        <f t="shared" ca="1" si="103"/>
        <v>1+17.658727147118i</v>
      </c>
      <c r="E306" t="str">
        <f t="shared" ca="1" si="104"/>
        <v>1+11426.9074514407i</v>
      </c>
      <c r="F306">
        <f t="shared" ca="1" si="105"/>
        <v>69.486139019499433</v>
      </c>
      <c r="G306" t="str">
        <f t="shared" ca="1" si="117"/>
        <v>0.311603537173013+3.60582250192291i</v>
      </c>
      <c r="H306">
        <f t="shared" ca="1" si="118"/>
        <v>11.172398887219817</v>
      </c>
      <c r="I306">
        <f t="shared" ca="1" si="119"/>
        <v>85.060954056110702</v>
      </c>
      <c r="K306" t="str">
        <f t="shared" ca="1" si="106"/>
        <v>1+33.6359721067761i</v>
      </c>
      <c r="L306" t="str">
        <f t="shared" ca="1" si="107"/>
        <v>1-9.25307966791505i</v>
      </c>
      <c r="M306" t="str">
        <f t="shared" ca="1" si="108"/>
        <v>1+10763.5110741684i</v>
      </c>
      <c r="N306" t="str">
        <f t="shared" si="109"/>
        <v>1+27.088554396776i</v>
      </c>
      <c r="O306">
        <f t="shared" ca="1" si="110"/>
        <v>30.873410267617786</v>
      </c>
      <c r="P306" t="str">
        <f t="shared" ca="1" si="125"/>
        <v>-0.0329214036503165-0.00380024110376974i</v>
      </c>
      <c r="Q306">
        <f t="shared" ca="1" si="120"/>
        <v>-29.592945763246973</v>
      </c>
      <c r="R306">
        <f t="shared" ca="1" si="126"/>
        <v>-173.41527709919254</v>
      </c>
      <c r="T306" t="str">
        <f t="shared" si="111"/>
        <v>1+430i</v>
      </c>
      <c r="U306" t="str">
        <f t="shared" si="112"/>
        <v>1+25i</v>
      </c>
      <c r="V306" t="str">
        <f t="shared" si="113"/>
        <v>-0.000174418604651163i</v>
      </c>
      <c r="W306" t="str">
        <f t="shared" si="121"/>
        <v>0.000112842707481982-0.00299548629170072i</v>
      </c>
      <c r="X306">
        <f t="shared" si="122"/>
        <v>-50.464494576260151</v>
      </c>
      <c r="Y306">
        <f t="shared" si="123"/>
        <v>-87.842635716017156</v>
      </c>
      <c r="Z306">
        <f t="shared" si="124"/>
        <v>397887.35772973835</v>
      </c>
      <c r="AA306">
        <f t="shared" ca="1" si="114"/>
        <v>-39.292095689040337</v>
      </c>
      <c r="AB306">
        <f t="shared" ca="1" si="115"/>
        <v>-2.7816816599064538</v>
      </c>
    </row>
    <row r="307" spans="1:28" x14ac:dyDescent="0.2">
      <c r="A307">
        <v>2600000</v>
      </c>
      <c r="B307" t="str">
        <f t="shared" si="116"/>
        <v>2600000i</v>
      </c>
      <c r="C307" t="str">
        <f t="shared" ca="1" si="102"/>
        <v>1+34.9814109910472i</v>
      </c>
      <c r="D307" t="str">
        <f t="shared" ca="1" si="103"/>
        <v>1+18.3650762330028i</v>
      </c>
      <c r="E307" t="str">
        <f t="shared" ca="1" si="104"/>
        <v>1+11883.9837494983i</v>
      </c>
      <c r="F307">
        <f t="shared" ca="1" si="105"/>
        <v>69.486139019499433</v>
      </c>
      <c r="G307" t="str">
        <f t="shared" ca="1" si="117"/>
        <v>0.311603497205024+3.75053038094416i</v>
      </c>
      <c r="H307">
        <f t="shared" ca="1" si="118"/>
        <v>11.511728828578704</v>
      </c>
      <c r="I307">
        <f t="shared" ca="1" si="119"/>
        <v>85.250630319284625</v>
      </c>
      <c r="K307" t="str">
        <f t="shared" ca="1" si="106"/>
        <v>1+34.9814109910472i</v>
      </c>
      <c r="L307" t="str">
        <f t="shared" ca="1" si="107"/>
        <v>1-9.62320285463165i</v>
      </c>
      <c r="M307" t="str">
        <f t="shared" ca="1" si="108"/>
        <v>1+11194.0515171351i</v>
      </c>
      <c r="N307" t="str">
        <f t="shared" si="109"/>
        <v>1+28.172096572647i</v>
      </c>
      <c r="O307">
        <f t="shared" ca="1" si="110"/>
        <v>30.873410267617786</v>
      </c>
      <c r="P307" t="str">
        <f t="shared" ca="1" si="125"/>
        <v>-0.0329240139237629-0.0036541699269379i</v>
      </c>
      <c r="Q307">
        <f t="shared" ca="1" si="120"/>
        <v>-29.59657344864651</v>
      </c>
      <c r="R307">
        <f t="shared" ca="1" si="126"/>
        <v>-173.66677698582754</v>
      </c>
      <c r="T307" t="str">
        <f t="shared" si="111"/>
        <v>1+447.2i</v>
      </c>
      <c r="U307" t="str">
        <f t="shared" si="112"/>
        <v>1+26i</v>
      </c>
      <c r="V307" t="str">
        <f t="shared" si="113"/>
        <v>-0.000167710196779964i</v>
      </c>
      <c r="W307" t="str">
        <f t="shared" si="121"/>
        <v>0.000104342001305348-0.00288060223071902i</v>
      </c>
      <c r="X307">
        <f t="shared" si="122"/>
        <v>-50.804639703027313</v>
      </c>
      <c r="Y307">
        <f t="shared" si="123"/>
        <v>-87.925522777443959</v>
      </c>
      <c r="Z307">
        <f t="shared" si="124"/>
        <v>413802.8520389279</v>
      </c>
      <c r="AA307">
        <f t="shared" ca="1" si="114"/>
        <v>-39.292910874448609</v>
      </c>
      <c r="AB307">
        <f t="shared" ca="1" si="115"/>
        <v>-2.6748924581593343</v>
      </c>
    </row>
    <row r="308" spans="1:28" x14ac:dyDescent="0.2">
      <c r="A308">
        <v>2700000</v>
      </c>
      <c r="B308" t="str">
        <f t="shared" si="116"/>
        <v>2700000i</v>
      </c>
      <c r="C308" t="str">
        <f t="shared" ca="1" si="102"/>
        <v>1+36.3268498753182i</v>
      </c>
      <c r="D308" t="str">
        <f t="shared" ca="1" si="103"/>
        <v>1+19.0714253188875i</v>
      </c>
      <c r="E308" t="str">
        <f t="shared" ca="1" si="104"/>
        <v>1+12341.0600475559i</v>
      </c>
      <c r="F308">
        <f t="shared" ca="1" si="105"/>
        <v>69.486139019499433</v>
      </c>
      <c r="G308" t="str">
        <f t="shared" ca="1" si="117"/>
        <v>0.311603461595145+3.89522101309061i</v>
      </c>
      <c r="H308">
        <f t="shared" ca="1" si="118"/>
        <v>11.838345848212196</v>
      </c>
      <c r="I308">
        <f t="shared" ca="1" si="119"/>
        <v>85.426286567539449</v>
      </c>
      <c r="K308" t="str">
        <f t="shared" ca="1" si="106"/>
        <v>1+36.3268498753182i</v>
      </c>
      <c r="L308" t="str">
        <f t="shared" ca="1" si="107"/>
        <v>1-9.99332604134825i</v>
      </c>
      <c r="M308" t="str">
        <f t="shared" ca="1" si="108"/>
        <v>1+11624.5919601018i</v>
      </c>
      <c r="N308" t="str">
        <f t="shared" si="109"/>
        <v>1+29.2556387485181i</v>
      </c>
      <c r="O308">
        <f t="shared" ca="1" si="110"/>
        <v>30.873410267617786</v>
      </c>
      <c r="P308" t="str">
        <f t="shared" ca="1" si="125"/>
        <v>-0.0329263400210019-0.0035189091984891i</v>
      </c>
      <c r="Q308">
        <f t="shared" ca="1" si="120"/>
        <v>-29.599808328686962</v>
      </c>
      <c r="R308">
        <f t="shared" ca="1" si="126"/>
        <v>-173.89983044565673</v>
      </c>
      <c r="T308" t="str">
        <f t="shared" si="111"/>
        <v>1+464.4i</v>
      </c>
      <c r="U308" t="str">
        <f t="shared" si="112"/>
        <v>1+27i</v>
      </c>
      <c r="V308" t="str">
        <f t="shared" si="113"/>
        <v>-0.000161498708010336i</v>
      </c>
      <c r="W308" t="str">
        <f t="shared" si="121"/>
        <v>0.0000967664861420834-0.00277419383384659i</v>
      </c>
      <c r="X308">
        <f t="shared" si="122"/>
        <v>-51.131983196179874</v>
      </c>
      <c r="Y308">
        <f t="shared" si="123"/>
        <v>-88.002279337527909</v>
      </c>
      <c r="Z308">
        <f t="shared" si="124"/>
        <v>429718.3463481174</v>
      </c>
      <c r="AA308">
        <f t="shared" ca="1" si="114"/>
        <v>-39.293637347967675</v>
      </c>
      <c r="AB308">
        <f t="shared" ca="1" si="115"/>
        <v>-2.5759927699884599</v>
      </c>
    </row>
    <row r="309" spans="1:28" x14ac:dyDescent="0.2">
      <c r="A309">
        <v>2800000</v>
      </c>
      <c r="B309" t="str">
        <f t="shared" si="116"/>
        <v>2800000i</v>
      </c>
      <c r="C309" t="str">
        <f t="shared" ca="1" si="102"/>
        <v>1+37.6722887595893i</v>
      </c>
      <c r="D309" t="str">
        <f t="shared" ca="1" si="103"/>
        <v>1+19.7777744047722i</v>
      </c>
      <c r="E309" t="str">
        <f t="shared" ca="1" si="104"/>
        <v>1+12798.1363456136i</v>
      </c>
      <c r="F309">
        <f t="shared" ca="1" si="105"/>
        <v>69.486139019499433</v>
      </c>
      <c r="G309" t="str">
        <f t="shared" ca="1" si="117"/>
        <v>0.31160342973205+4.03989624624166i</v>
      </c>
      <c r="H309">
        <f t="shared" ca="1" si="118"/>
        <v>12.153165050759808</v>
      </c>
      <c r="I309">
        <f t="shared" ca="1" si="119"/>
        <v>85.589420886571304</v>
      </c>
      <c r="K309" t="str">
        <f t="shared" ca="1" si="106"/>
        <v>1+37.6722887595893i</v>
      </c>
      <c r="L309" t="str">
        <f t="shared" ca="1" si="107"/>
        <v>1-10.3634492280649i</v>
      </c>
      <c r="M309" t="str">
        <f t="shared" ca="1" si="108"/>
        <v>1+12055.1324030686i</v>
      </c>
      <c r="N309" t="str">
        <f t="shared" si="109"/>
        <v>1+30.3391809243891i</v>
      </c>
      <c r="O309">
        <f t="shared" ca="1" si="110"/>
        <v>30.873410267617786</v>
      </c>
      <c r="P309" t="str">
        <f t="shared" ca="1" si="125"/>
        <v>-0.0329284217300521-0.00339330195742387i</v>
      </c>
      <c r="Q309">
        <f t="shared" ca="1" si="120"/>
        <v>-29.602705048889767</v>
      </c>
      <c r="R309">
        <f t="shared" ca="1" si="126"/>
        <v>-174.11638933564063</v>
      </c>
      <c r="T309" t="str">
        <f t="shared" si="111"/>
        <v>1+481.6i</v>
      </c>
      <c r="U309" t="str">
        <f t="shared" si="112"/>
        <v>1+28i</v>
      </c>
      <c r="V309" t="str">
        <f t="shared" si="113"/>
        <v>-0.000155730897009967i</v>
      </c>
      <c r="W309" t="str">
        <f t="shared" si="121"/>
        <v>0.0000899866686416828-0.00267535761897709i</v>
      </c>
      <c r="X309">
        <f t="shared" si="122"/>
        <v>-51.44745257511034</v>
      </c>
      <c r="Y309">
        <f t="shared" si="123"/>
        <v>-88.073560981980634</v>
      </c>
      <c r="Z309">
        <f t="shared" si="124"/>
        <v>445633.84065730695</v>
      </c>
      <c r="AA309">
        <f t="shared" ca="1" si="114"/>
        <v>-39.29428752435053</v>
      </c>
      <c r="AB309">
        <f t="shared" ca="1" si="115"/>
        <v>-2.4841400954093302</v>
      </c>
    </row>
    <row r="310" spans="1:28" x14ac:dyDescent="0.2">
      <c r="A310">
        <v>2900000</v>
      </c>
      <c r="B310" t="str">
        <f t="shared" si="116"/>
        <v>2900000i</v>
      </c>
      <c r="C310" t="str">
        <f t="shared" ca="1" si="102"/>
        <v>1+39.0177276438603i</v>
      </c>
      <c r="D310" t="str">
        <f t="shared" ca="1" si="103"/>
        <v>1+20.4841234906569i</v>
      </c>
      <c r="E310" t="str">
        <f t="shared" ca="1" si="104"/>
        <v>1+13255.2126436712i</v>
      </c>
      <c r="F310">
        <f t="shared" ca="1" si="105"/>
        <v>69.486139019499433</v>
      </c>
      <c r="G310" t="str">
        <f t="shared" ca="1" si="117"/>
        <v>0.311603401107963+4.18455767339684i</v>
      </c>
      <c r="H310">
        <f t="shared" ca="1" si="118"/>
        <v>12.457006470643071</v>
      </c>
      <c r="I310">
        <f t="shared" ca="1" si="119"/>
        <v>85.741325391534133</v>
      </c>
      <c r="K310" t="str">
        <f t="shared" ca="1" si="106"/>
        <v>1+39.0177276438603i</v>
      </c>
      <c r="L310" t="str">
        <f t="shared" ca="1" si="107"/>
        <v>1-10.7335724147815i</v>
      </c>
      <c r="M310" t="str">
        <f t="shared" ca="1" si="108"/>
        <v>1+12485.6728460353i</v>
      </c>
      <c r="N310" t="str">
        <f t="shared" si="109"/>
        <v>1+31.4227231002602i</v>
      </c>
      <c r="O310">
        <f t="shared" ca="1" si="110"/>
        <v>30.873410267617786</v>
      </c>
      <c r="P310" t="str">
        <f t="shared" ca="1" si="125"/>
        <v>-0.0329302921137595-0.00327635061120159i</v>
      </c>
      <c r="Q310">
        <f t="shared" ca="1" si="120"/>
        <v>-29.605309085610514</v>
      </c>
      <c r="R310">
        <f t="shared" ca="1" si="126"/>
        <v>-174.31814026230131</v>
      </c>
      <c r="T310" t="str">
        <f t="shared" si="111"/>
        <v>1+498.8i</v>
      </c>
      <c r="U310" t="str">
        <f t="shared" si="112"/>
        <v>1+29i</v>
      </c>
      <c r="V310" t="str">
        <f t="shared" si="113"/>
        <v>-0.000150360866078589i</v>
      </c>
      <c r="W310" t="str">
        <f t="shared" si="121"/>
        <v>0.0000838949345412365-0.00258331396777445i</v>
      </c>
      <c r="X310">
        <f t="shared" si="122"/>
        <v>-51.751878191732573</v>
      </c>
      <c r="Y310">
        <f t="shared" si="123"/>
        <v>-88.139933075627411</v>
      </c>
      <c r="Z310">
        <f t="shared" si="124"/>
        <v>461549.33496649651</v>
      </c>
      <c r="AA310">
        <f t="shared" ca="1" si="114"/>
        <v>-39.2948717210895</v>
      </c>
      <c r="AB310">
        <f t="shared" ca="1" si="115"/>
        <v>-2.3986076840932782</v>
      </c>
    </row>
    <row r="311" spans="1:28" x14ac:dyDescent="0.2">
      <c r="A311">
        <v>3000000</v>
      </c>
      <c r="B311" t="str">
        <f t="shared" si="116"/>
        <v>3000000i</v>
      </c>
      <c r="C311" t="str">
        <f t="shared" ca="1" si="102"/>
        <v>1+40.3631665281313i</v>
      </c>
      <c r="D311" t="str">
        <f t="shared" ca="1" si="103"/>
        <v>1+21.1904725765416i</v>
      </c>
      <c r="E311" t="str">
        <f t="shared" ca="1" si="104"/>
        <v>1+13712.2889417288i</v>
      </c>
      <c r="F311">
        <f t="shared" ca="1" si="105"/>
        <v>69.486139019499433</v>
      </c>
      <c r="G311" t="str">
        <f t="shared" ca="1" si="117"/>
        <v>0.3116033752983+4.32920667515568i</v>
      </c>
      <c r="H311">
        <f t="shared" ca="1" si="118"/>
        <v>12.750607761340479</v>
      </c>
      <c r="I311">
        <f t="shared" ca="1" si="119"/>
        <v>85.883120430050965</v>
      </c>
      <c r="K311" t="str">
        <f t="shared" ca="1" si="106"/>
        <v>1+40.3631665281313i</v>
      </c>
      <c r="L311" t="str">
        <f t="shared" ca="1" si="107"/>
        <v>1-11.1036956014981i</v>
      </c>
      <c r="M311" t="str">
        <f t="shared" ca="1" si="108"/>
        <v>1+12916.213289002i</v>
      </c>
      <c r="N311" t="str">
        <f t="shared" si="109"/>
        <v>1+32.5062652761312i</v>
      </c>
      <c r="O311">
        <f t="shared" ca="1" si="110"/>
        <v>30.873410267617786</v>
      </c>
      <c r="P311" t="str">
        <f t="shared" ca="1" si="125"/>
        <v>-0.032931978828743-0.00316719041459146i</v>
      </c>
      <c r="Q311">
        <f t="shared" ca="1" si="120"/>
        <v>-29.607658529764244</v>
      </c>
      <c r="R311">
        <f t="shared" ca="1" si="126"/>
        <v>-174.50654804447592</v>
      </c>
      <c r="T311" t="str">
        <f t="shared" si="111"/>
        <v>1+516i</v>
      </c>
      <c r="U311" t="str">
        <f t="shared" si="112"/>
        <v>1+30i</v>
      </c>
      <c r="V311" t="str">
        <f t="shared" si="113"/>
        <v>-0.000145348837209302i</v>
      </c>
      <c r="W311" t="str">
        <f t="shared" si="121"/>
        <v>0.000078401259582376-0.00249738662468058i</v>
      </c>
      <c r="X311">
        <f t="shared" si="122"/>
        <v>-52.046006330825023</v>
      </c>
      <c r="Y311">
        <f t="shared" si="123"/>
        <v>-88.201885760381643</v>
      </c>
      <c r="Z311">
        <f t="shared" si="124"/>
        <v>477464.829275686</v>
      </c>
      <c r="AA311">
        <f t="shared" ca="1" si="114"/>
        <v>-39.295398569484547</v>
      </c>
      <c r="AB311">
        <f t="shared" ca="1" si="115"/>
        <v>-2.3187653303306774</v>
      </c>
    </row>
    <row r="312" spans="1:28" x14ac:dyDescent="0.2">
      <c r="A312">
        <v>3100000</v>
      </c>
      <c r="B312" t="str">
        <f t="shared" si="116"/>
        <v>3100000i</v>
      </c>
      <c r="C312" t="str">
        <f t="shared" ca="1" si="102"/>
        <v>1+41.7086054124024i</v>
      </c>
      <c r="D312" t="str">
        <f t="shared" ca="1" si="103"/>
        <v>1+21.8968216624264i</v>
      </c>
      <c r="E312" t="str">
        <f t="shared" ca="1" si="104"/>
        <v>1+14169.3652397864i</v>
      </c>
      <c r="F312">
        <f t="shared" ca="1" si="105"/>
        <v>69.486139019499433</v>
      </c>
      <c r="G312" t="str">
        <f t="shared" ca="1" si="117"/>
        <v>0.311603351945833+4.47384445397591i</v>
      </c>
      <c r="H312">
        <f t="shared" ca="1" si="118"/>
        <v>13.034634842043173</v>
      </c>
      <c r="I312">
        <f t="shared" ca="1" si="119"/>
        <v>86.015782192148549</v>
      </c>
      <c r="K312" t="str">
        <f t="shared" ca="1" si="106"/>
        <v>1+41.7086054124024i</v>
      </c>
      <c r="L312" t="str">
        <f t="shared" ca="1" si="107"/>
        <v>1-11.4738187882147i</v>
      </c>
      <c r="M312" t="str">
        <f t="shared" ca="1" si="108"/>
        <v>1+13346.7537319688i</v>
      </c>
      <c r="N312" t="str">
        <f t="shared" si="109"/>
        <v>1+33.5898074520022i</v>
      </c>
      <c r="O312">
        <f t="shared" ca="1" si="110"/>
        <v>30.873410267617786</v>
      </c>
      <c r="P312" t="str">
        <f t="shared" ca="1" si="125"/>
        <v>-0.0329335051522148-0.00306506807301981i</v>
      </c>
      <c r="Q312">
        <f t="shared" ca="1" si="120"/>
        <v>-29.609785478963104</v>
      </c>
      <c r="R312">
        <f t="shared" ca="1" si="126"/>
        <v>-174.68289092207488</v>
      </c>
      <c r="T312" t="str">
        <f t="shared" si="111"/>
        <v>1+533.2i</v>
      </c>
      <c r="U312" t="str">
        <f t="shared" si="112"/>
        <v>1+31i</v>
      </c>
      <c r="V312" t="str">
        <f t="shared" si="113"/>
        <v>-0.00014066016504126i</v>
      </c>
      <c r="W312" t="str">
        <f t="shared" si="121"/>
        <v>0.0000734298699414977-0.00241698613322769i</v>
      </c>
      <c r="X312">
        <f t="shared" si="122"/>
        <v>-52.330510176768676</v>
      </c>
      <c r="Y312">
        <f t="shared" si="123"/>
        <v>-88.25984605871686</v>
      </c>
      <c r="Z312">
        <f t="shared" si="124"/>
        <v>493380.32358487556</v>
      </c>
      <c r="AA312">
        <f t="shared" ca="1" si="114"/>
        <v>-39.295875334725501</v>
      </c>
      <c r="AB312">
        <f t="shared" ca="1" si="115"/>
        <v>-2.244063866568311</v>
      </c>
    </row>
    <row r="313" spans="1:28" x14ac:dyDescent="0.2">
      <c r="A313">
        <v>3200000</v>
      </c>
      <c r="B313" t="str">
        <f t="shared" si="116"/>
        <v>3200000i</v>
      </c>
      <c r="C313" t="str">
        <f t="shared" ca="1" si="102"/>
        <v>1+43.0540442966734i</v>
      </c>
      <c r="D313" t="str">
        <f t="shared" ca="1" si="103"/>
        <v>1+22.6031707483111i</v>
      </c>
      <c r="E313" t="str">
        <f t="shared" ca="1" si="104"/>
        <v>1+14626.4415378441i</v>
      </c>
      <c r="F313">
        <f t="shared" ca="1" si="105"/>
        <v>69.486139019499433</v>
      </c>
      <c r="G313" t="str">
        <f t="shared" ca="1" si="117"/>
        <v>0.311603330748262+4.61847206200791i</v>
      </c>
      <c r="H313">
        <f t="shared" ca="1" si="118"/>
        <v>13.309690882833515</v>
      </c>
      <c r="I313">
        <f t="shared" ca="1" si="119"/>
        <v>86.140165162973005</v>
      </c>
      <c r="K313" t="str">
        <f t="shared" ca="1" si="106"/>
        <v>1+43.0540442966734i</v>
      </c>
      <c r="L313" t="str">
        <f t="shared" ca="1" si="107"/>
        <v>1-11.8439419749313i</v>
      </c>
      <c r="M313" t="str">
        <f t="shared" ca="1" si="108"/>
        <v>1+13777.2941749355i</v>
      </c>
      <c r="N313" t="str">
        <f t="shared" si="109"/>
        <v>1+34.6733496278733i</v>
      </c>
      <c r="O313">
        <f t="shared" ca="1" si="110"/>
        <v>30.873410267617786</v>
      </c>
      <c r="P313" t="str">
        <f t="shared" ca="1" si="125"/>
        <v>-0.032934890788328-0.00296932435148066i</v>
      </c>
      <c r="Q313">
        <f t="shared" ca="1" si="120"/>
        <v>-29.611717133204944</v>
      </c>
      <c r="R313">
        <f t="shared" ca="1" si="126"/>
        <v>-174.84828927925108</v>
      </c>
      <c r="T313" t="str">
        <f t="shared" si="111"/>
        <v>1+550.4i</v>
      </c>
      <c r="U313" t="str">
        <f t="shared" si="112"/>
        <v>1+32i</v>
      </c>
      <c r="V313" t="str">
        <f t="shared" si="113"/>
        <v>-0.000136264534883721i</v>
      </c>
      <c r="W313" t="str">
        <f t="shared" si="121"/>
        <v>0.0000689166193987521-0.00234159635564379i</v>
      </c>
      <c r="X313">
        <f t="shared" si="122"/>
        <v>-52.605999050124922</v>
      </c>
      <c r="Y313">
        <f t="shared" si="123"/>
        <v>-88.314187713827138</v>
      </c>
      <c r="Z313">
        <f t="shared" si="124"/>
        <v>509295.81789406511</v>
      </c>
      <c r="AA313">
        <f t="shared" ca="1" si="114"/>
        <v>-39.296308167291407</v>
      </c>
      <c r="AB313">
        <f t="shared" ca="1" si="115"/>
        <v>-2.1740225508541329</v>
      </c>
    </row>
    <row r="314" spans="1:28" x14ac:dyDescent="0.2">
      <c r="A314">
        <v>3300000</v>
      </c>
      <c r="B314" t="str">
        <f t="shared" si="116"/>
        <v>3300000i</v>
      </c>
      <c r="C314" t="str">
        <f t="shared" ca="1" si="102"/>
        <v>1+44.3994831809445i</v>
      </c>
      <c r="D314" t="str">
        <f t="shared" ca="1" si="103"/>
        <v>1+23.3095198341958i</v>
      </c>
      <c r="E314" t="str">
        <f t="shared" ca="1" si="104"/>
        <v>1+15083.5178359017i</v>
      </c>
      <c r="F314">
        <f t="shared" ca="1" si="105"/>
        <v>69.486139019499433</v>
      </c>
      <c r="G314" t="str">
        <f t="shared" ca="1" si="117"/>
        <v>0.311603311448394+4.76309042386887i</v>
      </c>
      <c r="H314">
        <f t="shared" ca="1" si="118"/>
        <v>13.576323929293487</v>
      </c>
      <c r="I314">
        <f t="shared" ca="1" si="119"/>
        <v>86.257020507712298</v>
      </c>
      <c r="K314" t="str">
        <f t="shared" ca="1" si="106"/>
        <v>1+44.3994831809445i</v>
      </c>
      <c r="L314" t="str">
        <f t="shared" ca="1" si="107"/>
        <v>1-12.2140651616479i</v>
      </c>
      <c r="M314" t="str">
        <f t="shared" ca="1" si="108"/>
        <v>1+14207.8346179022i</v>
      </c>
      <c r="N314" t="str">
        <f t="shared" si="109"/>
        <v>1+35.7568918037443i</v>
      </c>
      <c r="O314">
        <f t="shared" ca="1" si="110"/>
        <v>30.873410267617786</v>
      </c>
      <c r="P314" t="str">
        <f t="shared" ca="1" si="125"/>
        <v>-0.0329361525065233-0.00287937984080041i</v>
      </c>
      <c r="Q314">
        <f t="shared" ca="1" si="120"/>
        <v>-29.613476664045063</v>
      </c>
      <c r="R314">
        <f t="shared" ca="1" si="126"/>
        <v>-175.00372923120864</v>
      </c>
      <c r="T314" t="str">
        <f t="shared" si="111"/>
        <v>1+567.6i</v>
      </c>
      <c r="U314" t="str">
        <f t="shared" si="112"/>
        <v>1+33i</v>
      </c>
      <c r="V314" t="str">
        <f t="shared" si="113"/>
        <v>-0.000132135306553911i</v>
      </c>
      <c r="W314" t="str">
        <f t="shared" si="121"/>
        <v>0.0000648069127373586-0.00227076342688674i</v>
      </c>
      <c r="X314">
        <f t="shared" si="122"/>
        <v>-52.873026231293785</v>
      </c>
      <c r="Y314">
        <f t="shared" si="123"/>
        <v>-88.365239245166123</v>
      </c>
      <c r="Z314">
        <f t="shared" si="124"/>
        <v>525211.31220325467</v>
      </c>
      <c r="AA314">
        <f t="shared" ca="1" si="114"/>
        <v>-39.296702302000298</v>
      </c>
      <c r="AB314">
        <f t="shared" ca="1" si="115"/>
        <v>-2.108218737453825</v>
      </c>
    </row>
    <row r="315" spans="1:28" x14ac:dyDescent="0.2">
      <c r="A315">
        <v>3400000</v>
      </c>
      <c r="B315" t="str">
        <f t="shared" si="116"/>
        <v>3400000i</v>
      </c>
      <c r="C315" t="str">
        <f t="shared" ca="1" si="102"/>
        <v>1+45.7449220652155i</v>
      </c>
      <c r="D315" t="str">
        <f t="shared" ca="1" si="103"/>
        <v>1+24.0158689200805i</v>
      </c>
      <c r="E315" t="str">
        <f t="shared" ca="1" si="104"/>
        <v>1+15540.5941339593i</v>
      </c>
      <c r="F315">
        <f t="shared" ca="1" si="105"/>
        <v>69.486139019499433</v>
      </c>
      <c r="G315" t="str">
        <f t="shared" ca="1" si="117"/>
        <v>0.311603293826283+4.90770035539734i</v>
      </c>
      <c r="H315">
        <f t="shared" ca="1" si="118"/>
        <v>13.835033405894464</v>
      </c>
      <c r="I315">
        <f t="shared" ca="1" si="119"/>
        <v>86.367011222956705</v>
      </c>
      <c r="K315" t="str">
        <f t="shared" ca="1" si="106"/>
        <v>1+45.7449220652155i</v>
      </c>
      <c r="L315" t="str">
        <f t="shared" ca="1" si="107"/>
        <v>1-12.5841883483645i</v>
      </c>
      <c r="M315" t="str">
        <f t="shared" ca="1" si="108"/>
        <v>1+14638.375060869i</v>
      </c>
      <c r="N315" t="str">
        <f t="shared" si="109"/>
        <v>1+36.8404339796154i</v>
      </c>
      <c r="O315">
        <f t="shared" ca="1" si="110"/>
        <v>30.873410267617786</v>
      </c>
      <c r="P315" t="str">
        <f t="shared" ca="1" si="125"/>
        <v>-0.0329373046507119-0.00279472323225937i</v>
      </c>
      <c r="Q315">
        <f t="shared" ca="1" si="120"/>
        <v>-29.615083909175425</v>
      </c>
      <c r="R315">
        <f t="shared" ca="1" si="126"/>
        <v>-175.1500821130258</v>
      </c>
      <c r="T315" t="str">
        <f t="shared" si="111"/>
        <v>1+584.8i</v>
      </c>
      <c r="U315" t="str">
        <f t="shared" si="112"/>
        <v>1+34i</v>
      </c>
      <c r="V315" t="str">
        <f t="shared" si="113"/>
        <v>-0.000128248974008208i</v>
      </c>
      <c r="W315" t="str">
        <f t="shared" si="121"/>
        <v>0.0000610540491648409-0.0022040866456128i</v>
      </c>
      <c r="X315">
        <f t="shared" si="122"/>
        <v>-53.132095622700291</v>
      </c>
      <c r="Y315">
        <f t="shared" si="123"/>
        <v>-88.413290585776551</v>
      </c>
      <c r="Z315">
        <f t="shared" si="124"/>
        <v>541126.80651244416</v>
      </c>
      <c r="AA315">
        <f t="shared" ca="1" si="114"/>
        <v>-39.297062216805827</v>
      </c>
      <c r="AB315">
        <f t="shared" ca="1" si="115"/>
        <v>-2.0462793628198455</v>
      </c>
    </row>
    <row r="316" spans="1:28" x14ac:dyDescent="0.2">
      <c r="A316">
        <v>3500000</v>
      </c>
      <c r="B316" t="str">
        <f t="shared" si="116"/>
        <v>3500000i</v>
      </c>
      <c r="C316" t="str">
        <f t="shared" ca="1" si="102"/>
        <v>1+47.0903609494866i</v>
      </c>
      <c r="D316" t="str">
        <f t="shared" ca="1" si="103"/>
        <v>1+24.7222180059652i</v>
      </c>
      <c r="E316" t="str">
        <f t="shared" ca="1" si="104"/>
        <v>1+15997.670432017i</v>
      </c>
      <c r="F316">
        <f t="shared" ca="1" si="105"/>
        <v>69.486139019499433</v>
      </c>
      <c r="G316" t="str">
        <f t="shared" ca="1" si="117"/>
        <v>0.311603277692951+5.05230257919323i</v>
      </c>
      <c r="H316">
        <f t="shared" ca="1" si="118"/>
        <v>14.086275689917391</v>
      </c>
      <c r="I316">
        <f t="shared" ca="1" si="119"/>
        <v>86.470724698846439</v>
      </c>
      <c r="K316" t="str">
        <f t="shared" ca="1" si="106"/>
        <v>1+47.0903609494866i</v>
      </c>
      <c r="L316" t="str">
        <f t="shared" ca="1" si="107"/>
        <v>1-12.9543115350811i</v>
      </c>
      <c r="M316" t="str">
        <f t="shared" ca="1" si="108"/>
        <v>1+15068.9155038357i</v>
      </c>
      <c r="N316" t="str">
        <f t="shared" si="109"/>
        <v>1+37.9239761554864i</v>
      </c>
      <c r="O316">
        <f t="shared" ca="1" si="110"/>
        <v>30.873410267617786</v>
      </c>
      <c r="P316" t="str">
        <f t="shared" ca="1" si="125"/>
        <v>-0.0329383595483164-0.00271490159965802i</v>
      </c>
      <c r="Q316">
        <f t="shared" ca="1" si="120"/>
        <v>-29.616555931332389</v>
      </c>
      <c r="R316">
        <f t="shared" ca="1" si="126"/>
        <v>-175.28812067616602</v>
      </c>
      <c r="T316" t="str">
        <f t="shared" si="111"/>
        <v>1+602i</v>
      </c>
      <c r="U316" t="str">
        <f t="shared" si="112"/>
        <v>1+35i</v>
      </c>
      <c r="V316" t="str">
        <f t="shared" si="113"/>
        <v>-0.000124584717607973i</v>
      </c>
      <c r="W316" t="str">
        <f t="shared" si="121"/>
        <v>0.0000576178914222844-0.00214121091738793i</v>
      </c>
      <c r="X316">
        <f t="shared" si="122"/>
        <v>-53.383667450295462</v>
      </c>
      <c r="Y316">
        <f t="shared" si="123"/>
        <v>-88.458598584319233</v>
      </c>
      <c r="Z316">
        <f t="shared" si="124"/>
        <v>557042.30082163366</v>
      </c>
      <c r="AA316">
        <f t="shared" ca="1" si="114"/>
        <v>-39.297391760378069</v>
      </c>
      <c r="AB316">
        <f t="shared" ca="1" si="115"/>
        <v>-1.9878738854727942</v>
      </c>
    </row>
    <row r="317" spans="1:28" x14ac:dyDescent="0.2">
      <c r="A317">
        <v>3600000</v>
      </c>
      <c r="B317" t="str">
        <f t="shared" si="116"/>
        <v>3600000i</v>
      </c>
      <c r="C317" t="str">
        <f t="shared" ca="1" si="102"/>
        <v>1+48.4357998337576i</v>
      </c>
      <c r="D317" t="str">
        <f t="shared" ca="1" si="103"/>
        <v>1+25.42856709185i</v>
      </c>
      <c r="E317" t="str">
        <f t="shared" ca="1" si="104"/>
        <v>1+16454.7467300746i</v>
      </c>
      <c r="F317">
        <f t="shared" ca="1" si="105"/>
        <v>69.486139019499433</v>
      </c>
      <c r="G317" t="str">
        <f t="shared" ca="1" si="117"/>
        <v>0.311603262885303+5.19689773756765i</v>
      </c>
      <c r="H317">
        <f t="shared" ca="1" si="118"/>
        <v>14.33046891053797</v>
      </c>
      <c r="I317">
        <f t="shared" ca="1" si="119"/>
        <v>86.568683193730635</v>
      </c>
      <c r="K317" t="str">
        <f t="shared" ca="1" si="106"/>
        <v>1+48.4357998337576i</v>
      </c>
      <c r="L317" t="str">
        <f t="shared" ca="1" si="107"/>
        <v>1-13.3244347217977i</v>
      </c>
      <c r="M317" t="str">
        <f t="shared" ca="1" si="108"/>
        <v>1+15499.4559468024i</v>
      </c>
      <c r="N317" t="str">
        <f t="shared" si="109"/>
        <v>1+39.0075183313574i</v>
      </c>
      <c r="O317">
        <f t="shared" ca="1" si="110"/>
        <v>30.873410267617786</v>
      </c>
      <c r="P317" t="str">
        <f t="shared" ca="1" si="125"/>
        <v>-0.0329393278410512-0.00263951229904814i</v>
      </c>
      <c r="Q317">
        <f t="shared" ca="1" si="120"/>
        <v>-29.617907470969079</v>
      </c>
      <c r="R317">
        <f t="shared" ca="1" si="126"/>
        <v>-175.41853262260432</v>
      </c>
      <c r="T317" t="str">
        <f t="shared" si="111"/>
        <v>1+619.2i</v>
      </c>
      <c r="U317" t="str">
        <f t="shared" si="112"/>
        <v>1+36i</v>
      </c>
      <c r="V317" t="str">
        <f t="shared" si="113"/>
        <v>-0.000121124031007752i</v>
      </c>
      <c r="W317" t="str">
        <f t="shared" si="121"/>
        <v>0.0000544637894246114-0.00208182045029376i</v>
      </c>
      <c r="X317">
        <f t="shared" si="122"/>
        <v>-53.628163165825555</v>
      </c>
      <c r="Y317">
        <f t="shared" si="123"/>
        <v>-88.501391592016859</v>
      </c>
      <c r="Z317">
        <f t="shared" si="124"/>
        <v>572957.79513082327</v>
      </c>
      <c r="AA317">
        <f t="shared" ca="1" si="114"/>
        <v>-39.297694255287581</v>
      </c>
      <c r="AB317">
        <f t="shared" ca="1" si="115"/>
        <v>-1.9327083982862234</v>
      </c>
    </row>
    <row r="318" spans="1:28" x14ac:dyDescent="0.2">
      <c r="A318">
        <v>3700000</v>
      </c>
      <c r="B318" t="str">
        <f t="shared" si="116"/>
        <v>3700000i</v>
      </c>
      <c r="C318" t="str">
        <f t="shared" ca="1" si="102"/>
        <v>1+49.7812387180287i</v>
      </c>
      <c r="D318" t="str">
        <f t="shared" ca="1" si="103"/>
        <v>1+26.1349161777347i</v>
      </c>
      <c r="E318" t="str">
        <f t="shared" ca="1" si="104"/>
        <v>1+16911.8230281322i</v>
      </c>
      <c r="F318">
        <f t="shared" ca="1" si="105"/>
        <v>69.486139019499433</v>
      </c>
      <c r="G318" t="str">
        <f t="shared" ca="1" si="117"/>
        <v>0.311603249261974+5.34148640339254i</v>
      </c>
      <c r="H318">
        <f t="shared" ca="1" si="118"/>
        <v>14.567997098571583</v>
      </c>
      <c r="I318">
        <f t="shared" ca="1" si="119"/>
        <v>86.661352614984864</v>
      </c>
      <c r="K318" t="str">
        <f t="shared" ca="1" si="106"/>
        <v>1+49.7812387180287i</v>
      </c>
      <c r="L318" t="str">
        <f t="shared" ca="1" si="107"/>
        <v>1-13.6945579085143i</v>
      </c>
      <c r="M318" t="str">
        <f t="shared" ca="1" si="108"/>
        <v>1+15929.9963897692i</v>
      </c>
      <c r="N318" t="str">
        <f t="shared" si="109"/>
        <v>1+40.0910605072285i</v>
      </c>
      <c r="O318">
        <f t="shared" ca="1" si="110"/>
        <v>30.873410267617786</v>
      </c>
      <c r="P318" t="str">
        <f t="shared" ca="1" si="125"/>
        <v>-0.0329402187541056-0.00256819618049634i</v>
      </c>
      <c r="Q318">
        <f t="shared" ca="1" si="120"/>
        <v>-29.619151315135607</v>
      </c>
      <c r="R318">
        <f t="shared" ca="1" si="126"/>
        <v>-175.5419319726625</v>
      </c>
      <c r="T318" t="str">
        <f t="shared" si="111"/>
        <v>1+636.4i</v>
      </c>
      <c r="U318" t="str">
        <f t="shared" si="112"/>
        <v>1+37i</v>
      </c>
      <c r="V318" t="str">
        <f t="shared" si="113"/>
        <v>-0.000117850408548083i</v>
      </c>
      <c r="W318" t="str">
        <f t="shared" si="121"/>
        <v>0.0000515617042946868-0.00202563346745149i</v>
      </c>
      <c r="X318">
        <f t="shared" si="122"/>
        <v>-53.865969680554102</v>
      </c>
      <c r="Y318">
        <f t="shared" si="123"/>
        <v>-88.541873307239356</v>
      </c>
      <c r="Z318">
        <f t="shared" si="124"/>
        <v>588873.28944001277</v>
      </c>
      <c r="AA318">
        <f t="shared" ca="1" si="114"/>
        <v>-39.297972581982521</v>
      </c>
      <c r="AB318">
        <f t="shared" ca="1" si="115"/>
        <v>-1.8805206922544926</v>
      </c>
    </row>
    <row r="319" spans="1:28" x14ac:dyDescent="0.2">
      <c r="A319">
        <v>3800000</v>
      </c>
      <c r="B319" t="str">
        <f t="shared" si="116"/>
        <v>3800000i</v>
      </c>
      <c r="C319" t="str">
        <f t="shared" ca="1" si="102"/>
        <v>1+51.1266776022997i</v>
      </c>
      <c r="D319" t="str">
        <f t="shared" ca="1" si="103"/>
        <v>1+26.8412652636194i</v>
      </c>
      <c r="E319" t="str">
        <f t="shared" ca="1" si="104"/>
        <v>1+17368.8993261898i</v>
      </c>
      <c r="F319">
        <f t="shared" ca="1" si="105"/>
        <v>69.486139019499433</v>
      </c>
      <c r="G319" t="str">
        <f t="shared" ca="1" si="117"/>
        <v>0.311603236699955+5.4860690892376i</v>
      </c>
      <c r="H319">
        <f t="shared" ca="1" si="118"/>
        <v>14.799213789331073</v>
      </c>
      <c r="I319">
        <f t="shared" ca="1" si="119"/>
        <v>86.749149917052137</v>
      </c>
      <c r="K319" t="str">
        <f t="shared" ca="1" si="106"/>
        <v>1+51.1266776022997i</v>
      </c>
      <c r="L319" t="str">
        <f t="shared" ca="1" si="107"/>
        <v>1-14.0646810952309i</v>
      </c>
      <c r="M319" t="str">
        <f t="shared" ca="1" si="108"/>
        <v>1+16360.5368327359i</v>
      </c>
      <c r="N319" t="str">
        <f t="shared" si="109"/>
        <v>1+41.1746026830995i</v>
      </c>
      <c r="O319">
        <f t="shared" ca="1" si="110"/>
        <v>30.873410267617786</v>
      </c>
      <c r="P319" t="str">
        <f t="shared" ca="1" si="125"/>
        <v>-0.0329410403164867-0.00250063187049772i</v>
      </c>
      <c r="Q319">
        <f t="shared" ca="1" si="120"/>
        <v>-29.620298599823528</v>
      </c>
      <c r="R319">
        <f t="shared" ca="1" si="126"/>
        <v>-175.65886865991143</v>
      </c>
      <c r="T319" t="str">
        <f t="shared" si="111"/>
        <v>1+653.6i</v>
      </c>
      <c r="U319" t="str">
        <f t="shared" si="112"/>
        <v>1+38i</v>
      </c>
      <c r="V319" t="str">
        <f t="shared" si="113"/>
        <v>-0.000114749082007344i</v>
      </c>
      <c r="W319" t="str">
        <f t="shared" si="121"/>
        <v>0.000048885491269011-0.00197239775022976i</v>
      </c>
      <c r="X319">
        <f t="shared" si="122"/>
        <v>-54.097443036866707</v>
      </c>
      <c r="Y319">
        <f t="shared" si="123"/>
        <v>-88.580226014183978</v>
      </c>
      <c r="Z319">
        <f t="shared" si="124"/>
        <v>604788.78374920227</v>
      </c>
      <c r="AA319">
        <f t="shared" ca="1" si="114"/>
        <v>-39.29822924753563</v>
      </c>
      <c r="AB319">
        <f t="shared" ca="1" si="115"/>
        <v>-1.8310760971318416</v>
      </c>
    </row>
    <row r="320" spans="1:28" x14ac:dyDescent="0.2">
      <c r="A320">
        <v>3900000</v>
      </c>
      <c r="B320" t="str">
        <f t="shared" si="116"/>
        <v>3900000i</v>
      </c>
      <c r="C320" t="str">
        <f t="shared" ca="1" si="102"/>
        <v>1+52.4721164865707i</v>
      </c>
      <c r="D320" t="str">
        <f t="shared" ca="1" si="103"/>
        <v>1+27.5476143495041i</v>
      </c>
      <c r="E320" t="str">
        <f t="shared" ca="1" si="104"/>
        <v>1+17825.9756242475i</v>
      </c>
      <c r="F320">
        <f t="shared" ca="1" si="105"/>
        <v>69.486139019499433</v>
      </c>
      <c r="G320" t="str">
        <f t="shared" ca="1" si="117"/>
        <v>0.311603225091799+5.63064625510123i</v>
      </c>
      <c r="H320">
        <f t="shared" ca="1" si="118"/>
        <v>15.02444516270768</v>
      </c>
      <c r="I320">
        <f t="shared" ca="1" si="119"/>
        <v>86.832449364175858</v>
      </c>
      <c r="K320" t="str">
        <f t="shared" ca="1" si="106"/>
        <v>1+52.4721164865707i</v>
      </c>
      <c r="L320" t="str">
        <f t="shared" ca="1" si="107"/>
        <v>1-14.4348042819475i</v>
      </c>
      <c r="M320" t="str">
        <f t="shared" ca="1" si="108"/>
        <v>1+16791.0772757026i</v>
      </c>
      <c r="N320" t="str">
        <f t="shared" si="109"/>
        <v>1+42.2581448589706i</v>
      </c>
      <c r="O320">
        <f t="shared" ca="1" si="110"/>
        <v>30.873410267617786</v>
      </c>
      <c r="P320" t="str">
        <f t="shared" ca="1" si="125"/>
        <v>-0.0329417995423948-0.00243653093310285i</v>
      </c>
      <c r="Q320">
        <f t="shared" ca="1" si="120"/>
        <v>-29.621359059133091</v>
      </c>
      <c r="R320">
        <f t="shared" ca="1" si="126"/>
        <v>-175.76983666706349</v>
      </c>
      <c r="T320" t="str">
        <f t="shared" si="111"/>
        <v>1+670.8i</v>
      </c>
      <c r="U320" t="str">
        <f t="shared" si="112"/>
        <v>1+39i</v>
      </c>
      <c r="V320" t="str">
        <f t="shared" si="113"/>
        <v>-0.000111806797853309i</v>
      </c>
      <c r="W320" t="str">
        <f t="shared" si="121"/>
        <v>0.0000464123093848362-0.00192188686386192i</v>
      </c>
      <c r="X320">
        <f t="shared" si="122"/>
        <v>-54.322911604946988</v>
      </c>
      <c r="Y320">
        <f t="shared" si="123"/>
        <v>-88.616613324178942</v>
      </c>
      <c r="Z320">
        <f t="shared" si="124"/>
        <v>620704.27805839188</v>
      </c>
      <c r="AA320">
        <f t="shared" ca="1" si="114"/>
        <v>-39.29846644223931</v>
      </c>
      <c r="AB320">
        <f t="shared" ca="1" si="115"/>
        <v>-1.7841639600030845</v>
      </c>
    </row>
    <row r="321" spans="1:28" x14ac:dyDescent="0.2">
      <c r="A321">
        <v>4000000</v>
      </c>
      <c r="B321" t="str">
        <f t="shared" si="116"/>
        <v>4000000i</v>
      </c>
      <c r="C321" t="str">
        <f t="shared" ca="1" si="102"/>
        <v>1+53.8175553708418i</v>
      </c>
      <c r="D321" t="str">
        <f t="shared" ca="1" si="103"/>
        <v>1+28.2539634353889i</v>
      </c>
      <c r="E321" t="str">
        <f t="shared" ca="1" si="104"/>
        <v>1+18283.0519223051i</v>
      </c>
      <c r="F321">
        <f t="shared" ca="1" si="105"/>
        <v>69.486139019499433</v>
      </c>
      <c r="G321" t="str">
        <f t="shared" ca="1" si="117"/>
        <v>0.311603214343328+5.77521831498217i</v>
      </c>
      <c r="H321">
        <f t="shared" ca="1" si="118"/>
        <v>15.243992789899226</v>
      </c>
      <c r="I321">
        <f t="shared" ca="1" si="119"/>
        <v>86.911587855956341</v>
      </c>
      <c r="K321" t="str">
        <f t="shared" ca="1" si="106"/>
        <v>1+53.8175553708418i</v>
      </c>
      <c r="L321" t="str">
        <f t="shared" ca="1" si="107"/>
        <v>1-14.8049274686641i</v>
      </c>
      <c r="M321" t="str">
        <f t="shared" ca="1" si="108"/>
        <v>1+17221.6177186694i</v>
      </c>
      <c r="N321" t="str">
        <f t="shared" si="109"/>
        <v>1+43.3416870348416i</v>
      </c>
      <c r="O321">
        <f t="shared" ca="1" si="110"/>
        <v>30.873410267617786</v>
      </c>
      <c r="P321" t="str">
        <f t="shared" ca="1" si="125"/>
        <v>-0.0329425025813127-0.00237563375615959i</v>
      </c>
      <c r="Q321">
        <f t="shared" ca="1" si="120"/>
        <v>-29.622341231681659</v>
      </c>
      <c r="R321">
        <f t="shared" ca="1" si="126"/>
        <v>-175.87528095491319</v>
      </c>
      <c r="T321" t="str">
        <f t="shared" si="111"/>
        <v>1+688i</v>
      </c>
      <c r="U321" t="str">
        <f t="shared" si="112"/>
        <v>1+40i</v>
      </c>
      <c r="V321" t="str">
        <f t="shared" si="113"/>
        <v>-0.000109011627906977i</v>
      </c>
      <c r="W321" t="str">
        <f t="shared" si="121"/>
        <v>0.0000441221329692199-0.00187389694667577i</v>
      </c>
      <c r="X321">
        <f t="shared" si="122"/>
        <v>-54.542678876339906</v>
      </c>
      <c r="Y321">
        <f t="shared" si="123"/>
        <v>-88.651182506482016</v>
      </c>
      <c r="Z321">
        <f t="shared" si="124"/>
        <v>636619.77236758138</v>
      </c>
      <c r="AA321">
        <f t="shared" ca="1" si="114"/>
        <v>-39.298686086440682</v>
      </c>
      <c r="AB321">
        <f t="shared" ca="1" si="115"/>
        <v>-1.7395946505256745</v>
      </c>
    </row>
    <row r="322" spans="1:28" x14ac:dyDescent="0.2">
      <c r="A322">
        <v>4100000</v>
      </c>
      <c r="B322" t="str">
        <f t="shared" si="116"/>
        <v>4100000i</v>
      </c>
      <c r="C322" t="str">
        <f t="shared" ref="C322:C381" ca="1" si="127">IMSUM(1,IMDIV(B322,CcmWz1))</f>
        <v>1+55.1629942551128i</v>
      </c>
      <c r="D322" t="str">
        <f t="shared" ref="D322:D381" ca="1" si="128">IMSUM(1,IMDIV(B322,CcmWz2))</f>
        <v>1+28.9603125212736i</v>
      </c>
      <c r="E322" t="str">
        <f t="shared" ref="E322:E381" ca="1" si="129">IMSUM(1,IMDIV(B322,CcmWp1))</f>
        <v>1+18740.1282203627i</v>
      </c>
      <c r="F322">
        <f t="shared" ref="F322:F381" ca="1" si="130">CcmGo</f>
        <v>69.486139019499433</v>
      </c>
      <c r="G322" t="str">
        <f t="shared" ca="1" si="117"/>
        <v>0.311603204371697+5.9197856424888i</v>
      </c>
      <c r="H322">
        <f t="shared" ca="1" si="118"/>
        <v>15.458136044373367</v>
      </c>
      <c r="I322">
        <f t="shared" ca="1" si="119"/>
        <v>86.986869475317206</v>
      </c>
      <c r="K322" t="str">
        <f t="shared" ref="K322:K381" ca="1" si="131">IMSUM(1,IMDIV(B322,DcmWz1))</f>
        <v>1+55.1629942551128i</v>
      </c>
      <c r="L322" t="str">
        <f t="shared" ref="L322:L381" ca="1" si="132">IMSUB(1,IMDIV($B322,DcmWz2))</f>
        <v>1-15.1750506553807i</v>
      </c>
      <c r="M322" t="str">
        <f t="shared" ref="M322:M381" ca="1" si="133">IMSUM(1,IMDIV($B322,DcmWp1))</f>
        <v>1+17652.1581616361i</v>
      </c>
      <c r="N322" t="str">
        <f t="shared" ref="N322:N381" si="134">IMSUM(1,IMDIV($B322,DcmWp2))</f>
        <v>1+44.4252292107126i</v>
      </c>
      <c r="O322">
        <f t="shared" ref="O322:O381" ca="1" si="135">DcmGo</f>
        <v>30.873410267617786</v>
      </c>
      <c r="P322" t="str">
        <f t="shared" ca="1" si="125"/>
        <v>-0.0329431548428247-0.00231770603900394i</v>
      </c>
      <c r="Q322">
        <f t="shared" ca="1" si="120"/>
        <v>-29.62325263243261</v>
      </c>
      <c r="R322">
        <f t="shared" ca="1" si="126"/>
        <v>-175.97560338788685</v>
      </c>
      <c r="T322" t="str">
        <f t="shared" ref="T322:T381" si="136">IMSUM(1,IMPRODUCT($B322,1/CompWz1))</f>
        <v>1+705.2i</v>
      </c>
      <c r="U322" t="str">
        <f t="shared" ref="U322:U381" si="137">IMSUM(1,IMPRODUCT($B322,1/CompWp1))</f>
        <v>1+41i</v>
      </c>
      <c r="V322" t="str">
        <f t="shared" ref="V322:V381" si="138">IMDIV(CompA,$B322)</f>
        <v>-0.000106352807714124i</v>
      </c>
      <c r="W322" t="str">
        <f t="shared" si="121"/>
        <v>0.0000419973453529853-0.00182824396718652i</v>
      </c>
      <c r="X322">
        <f t="shared" si="122"/>
        <v>-54.757025913869199</v>
      </c>
      <c r="Y322">
        <f t="shared" si="123"/>
        <v>-88.684066478530468</v>
      </c>
      <c r="Z322">
        <f t="shared" si="124"/>
        <v>652535.26667677087</v>
      </c>
      <c r="AA322">
        <f t="shared" ref="AA322:AA381" ca="1" si="139">IF(IsDcmBode, X322+Q322,X322+H322)</f>
        <v>-39.298889869495831</v>
      </c>
      <c r="AB322">
        <f t="shared" ref="AB322:AB381" ca="1" si="140">IF(IsDcmBode, Y322+R322,Y322+I322)</f>
        <v>-1.6971970032132617</v>
      </c>
    </row>
    <row r="323" spans="1:28" x14ac:dyDescent="0.2">
      <c r="A323">
        <v>4200000</v>
      </c>
      <c r="B323" t="str">
        <f t="shared" ref="B323:B381" si="141">COMPLEX(0,A323)</f>
        <v>4200000i</v>
      </c>
      <c r="C323" t="str">
        <f t="shared" ca="1" si="127"/>
        <v>1+56.5084331393839i</v>
      </c>
      <c r="D323" t="str">
        <f t="shared" ca="1" si="128"/>
        <v>1+29.6666616071583i</v>
      </c>
      <c r="E323" t="str">
        <f t="shared" ca="1" si="129"/>
        <v>1+19197.2045184203i</v>
      </c>
      <c r="F323">
        <f t="shared" ca="1" si="130"/>
        <v>69.486139019499433</v>
      </c>
      <c r="G323" t="str">
        <f t="shared" ref="G323:G381" ca="1" si="142">IMDIV(IMPRODUCT(F323,C323,D323),E323)</f>
        <v>0.311603195103813+6.06434857564782i</v>
      </c>
      <c r="H323">
        <f t="shared" ref="H323:H381" ca="1" si="143">20*LOG(IMABS(G323),10)</f>
        <v>15.667134225070678</v>
      </c>
      <c r="I323">
        <f t="shared" ref="I323:I381" ca="1" si="144">IMARGUMENT(G323)*180/PI()</f>
        <v>87.058569388157849</v>
      </c>
      <c r="K323" t="str">
        <f t="shared" ca="1" si="131"/>
        <v>1+56.5084331393839i</v>
      </c>
      <c r="L323" t="str">
        <f t="shared" ca="1" si="132"/>
        <v>1-15.5451738420973i</v>
      </c>
      <c r="M323" t="str">
        <f t="shared" ca="1" si="133"/>
        <v>1+18082.6986046028i</v>
      </c>
      <c r="N323" t="str">
        <f t="shared" si="134"/>
        <v>1+45.5087713865837i</v>
      </c>
      <c r="O323">
        <f t="shared" ca="1" si="135"/>
        <v>30.873410267617786</v>
      </c>
      <c r="P323" t="str">
        <f t="shared" ca="1" si="125"/>
        <v>-0.0329437611009134-0.0022625357814617i</v>
      </c>
      <c r="Q323">
        <f t="shared" ref="Q323:Q381" ca="1" si="145">20*LOG(IMABS(P323),10)</f>
        <v>-29.624099896405809</v>
      </c>
      <c r="R323">
        <f t="shared" ca="1" si="126"/>
        <v>-176.07116782150203</v>
      </c>
      <c r="T323" t="str">
        <f t="shared" si="136"/>
        <v>1+722.4i</v>
      </c>
      <c r="U323" t="str">
        <f t="shared" si="137"/>
        <v>1+42i</v>
      </c>
      <c r="V323" t="str">
        <f t="shared" si="138"/>
        <v>-0.000103820598006645i</v>
      </c>
      <c r="W323" t="str">
        <f t="shared" ref="W323:W381" si="146">IMDIV(IMPRODUCT(V323,T323),U323)</f>
        <v>0.0000400223993675474-0.00178476137144364i</v>
      </c>
      <c r="X323">
        <f t="shared" ref="X323:X381" si="147">20*LOG(IMABS(W323),10)</f>
        <v>-54.966213507390769</v>
      </c>
      <c r="Y323">
        <f t="shared" ref="Y323:Y381" si="148">IMARGUMENT(W323)*180/PI()</f>
        <v>-88.715385512300855</v>
      </c>
      <c r="Z323">
        <f t="shared" ref="Z323:Z381" si="149">A323/(2*PI())</f>
        <v>668450.76098596049</v>
      </c>
      <c r="AA323">
        <f t="shared" ca="1" si="139"/>
        <v>-39.299079282320093</v>
      </c>
      <c r="AB323">
        <f t="shared" ca="1" si="140"/>
        <v>-1.6568161241430062</v>
      </c>
    </row>
    <row r="324" spans="1:28" x14ac:dyDescent="0.2">
      <c r="A324">
        <v>4300000</v>
      </c>
      <c r="B324" t="str">
        <f t="shared" si="141"/>
        <v>4300000i</v>
      </c>
      <c r="C324" t="str">
        <f t="shared" ca="1" si="127"/>
        <v>1+57.8538720236549i</v>
      </c>
      <c r="D324" t="str">
        <f t="shared" ca="1" si="128"/>
        <v>1+30.373010693043i</v>
      </c>
      <c r="E324" t="str">
        <f t="shared" ca="1" si="129"/>
        <v>1+19654.280816478i</v>
      </c>
      <c r="F324">
        <f t="shared" ca="1" si="130"/>
        <v>69.486139019499433</v>
      </c>
      <c r="G324" t="str">
        <f t="shared" ca="1" si="142"/>
        <v>0.311603186474974+6.20890742104168i</v>
      </c>
      <c r="H324">
        <f t="shared" ca="1" si="143"/>
        <v>15.871228432040194</v>
      </c>
      <c r="I324">
        <f t="shared" ca="1" si="144"/>
        <v>87.126937199981143</v>
      </c>
      <c r="K324" t="str">
        <f t="shared" ca="1" si="131"/>
        <v>1+57.8538720236549i</v>
      </c>
      <c r="L324" t="str">
        <f t="shared" ca="1" si="132"/>
        <v>1-15.9152970288139i</v>
      </c>
      <c r="M324" t="str">
        <f t="shared" ca="1" si="133"/>
        <v>1+18513.2390475696i</v>
      </c>
      <c r="N324" t="str">
        <f t="shared" si="134"/>
        <v>1+46.5923135624547i</v>
      </c>
      <c r="O324">
        <f t="shared" ca="1" si="135"/>
        <v>30.873410267617786</v>
      </c>
      <c r="P324" t="str">
        <f t="shared" ca="1" si="125"/>
        <v>-0.0329443255815023-0.00220993069263269i</v>
      </c>
      <c r="Q324">
        <f t="shared" ca="1" si="145"/>
        <v>-29.624888899404198</v>
      </c>
      <c r="R324">
        <f t="shared" ca="1" si="126"/>
        <v>-176.16230448666946</v>
      </c>
      <c r="T324" t="str">
        <f t="shared" si="136"/>
        <v>1+739.6i</v>
      </c>
      <c r="U324" t="str">
        <f t="shared" si="137"/>
        <v>1+43i</v>
      </c>
      <c r="V324" t="str">
        <f t="shared" si="138"/>
        <v>-0.000101406165494862i</v>
      </c>
      <c r="W324" t="str">
        <f t="shared" si="146"/>
        <v>0.0000381835323695788-0.00174329805738675i</v>
      </c>
      <c r="X324">
        <f t="shared" si="147"/>
        <v>-55.170484076751791</v>
      </c>
      <c r="Y324">
        <f t="shared" si="148"/>
        <v>-88.745248702915774</v>
      </c>
      <c r="Z324">
        <f t="shared" si="149"/>
        <v>684366.25529514998</v>
      </c>
      <c r="AA324">
        <f t="shared" ca="1" si="139"/>
        <v>-39.299255644711593</v>
      </c>
      <c r="AB324">
        <f t="shared" ca="1" si="140"/>
        <v>-1.6183115029346311</v>
      </c>
    </row>
    <row r="325" spans="1:28" x14ac:dyDescent="0.2">
      <c r="A325">
        <v>4400000</v>
      </c>
      <c r="B325" t="str">
        <f t="shared" si="141"/>
        <v>4400000i</v>
      </c>
      <c r="C325" t="str">
        <f t="shared" ca="1" si="127"/>
        <v>1+59.199310907926i</v>
      </c>
      <c r="D325" t="str">
        <f t="shared" ca="1" si="128"/>
        <v>1+31.0793597789277i</v>
      </c>
      <c r="E325" t="str">
        <f t="shared" ca="1" si="129"/>
        <v>1+20111.3571145356i</v>
      </c>
      <c r="F325">
        <f t="shared" ca="1" si="130"/>
        <v>69.486139019499433</v>
      </c>
      <c r="G325" t="str">
        <f t="shared" ca="1" si="142"/>
        <v>0.311603178427755+6.35346245738166i</v>
      </c>
      <c r="H325">
        <f t="shared" ca="1" si="143"/>
        <v>16.070643228310434</v>
      </c>
      <c r="I325">
        <f t="shared" ca="1" si="144"/>
        <v>87.192199855691612</v>
      </c>
      <c r="K325" t="str">
        <f t="shared" ca="1" si="131"/>
        <v>1+59.199310907926i</v>
      </c>
      <c r="L325" t="str">
        <f t="shared" ca="1" si="132"/>
        <v>1-16.2854202155305i</v>
      </c>
      <c r="M325" t="str">
        <f t="shared" ca="1" si="133"/>
        <v>1+18943.7794905363i</v>
      </c>
      <c r="N325" t="str">
        <f t="shared" si="134"/>
        <v>1+47.6758557383258i</v>
      </c>
      <c r="O325">
        <f t="shared" ca="1" si="135"/>
        <v>30.873410267617786</v>
      </c>
      <c r="P325" t="str">
        <f t="shared" ca="1" si="125"/>
        <v>-0.0329448520362484-0.00215971595273649i</v>
      </c>
      <c r="Q325">
        <f t="shared" ca="1" si="145"/>
        <v>-29.625624859861446</v>
      </c>
      <c r="R325">
        <f t="shared" ca="1" si="126"/>
        <v>-176.24931378153198</v>
      </c>
      <c r="T325" t="str">
        <f t="shared" si="136"/>
        <v>1+756.8i</v>
      </c>
      <c r="U325" t="str">
        <f t="shared" si="137"/>
        <v>1+44i</v>
      </c>
      <c r="V325" t="str">
        <f t="shared" si="138"/>
        <v>-0.0000991014799154334i</v>
      </c>
      <c r="W325" t="str">
        <f t="shared" si="146"/>
        <v>0.0000364685260112137-0.00170371662440884i</v>
      </c>
      <c r="X325">
        <f t="shared" si="147"/>
        <v>-55.370063356695297</v>
      </c>
      <c r="Y325">
        <f t="shared" si="148"/>
        <v>-88.773755237261881</v>
      </c>
      <c r="Z325">
        <f t="shared" si="149"/>
        <v>700281.74960433948</v>
      </c>
      <c r="AA325">
        <f t="shared" ca="1" si="139"/>
        <v>-39.299420128384867</v>
      </c>
      <c r="AB325">
        <f t="shared" ca="1" si="140"/>
        <v>-1.5815553815702685</v>
      </c>
    </row>
    <row r="326" spans="1:28" x14ac:dyDescent="0.2">
      <c r="A326">
        <v>4500000</v>
      </c>
      <c r="B326" t="str">
        <f t="shared" si="141"/>
        <v>4500000i</v>
      </c>
      <c r="C326" t="str">
        <f t="shared" ca="1" si="127"/>
        <v>1+60.544749792197i</v>
      </c>
      <c r="D326" t="str">
        <f t="shared" ca="1" si="128"/>
        <v>1+31.7857088648125i</v>
      </c>
      <c r="E326" t="str">
        <f t="shared" ca="1" si="129"/>
        <v>1+20568.4334125932i</v>
      </c>
      <c r="F326">
        <f t="shared" ca="1" si="130"/>
        <v>69.486139019499433</v>
      </c>
      <c r="G326" t="str">
        <f t="shared" ca="1" si="142"/>
        <v>0.311603170911034+6.49801393860463i</v>
      </c>
      <c r="H326">
        <f t="shared" ca="1" si="143"/>
        <v>16.265588116541295</v>
      </c>
      <c r="I326">
        <f t="shared" ca="1" si="144"/>
        <v>87.254564153473339</v>
      </c>
      <c r="K326" t="str">
        <f t="shared" ca="1" si="131"/>
        <v>1+60.544749792197i</v>
      </c>
      <c r="L326" t="str">
        <f t="shared" ca="1" si="132"/>
        <v>1-16.6555434022471i</v>
      </c>
      <c r="M326" t="str">
        <f t="shared" ca="1" si="133"/>
        <v>1+19374.319933503i</v>
      </c>
      <c r="N326" t="str">
        <f t="shared" si="134"/>
        <v>1+48.7593979141968i</v>
      </c>
      <c r="O326">
        <f t="shared" ca="1" si="135"/>
        <v>30.873410267617786</v>
      </c>
      <c r="P326" t="str">
        <f t="shared" ca="1" si="125"/>
        <v>-0.0329453438050005-0.0021117322731479i</v>
      </c>
      <c r="Q326">
        <f t="shared" ca="1" si="145"/>
        <v>-29.626312425108278</v>
      </c>
      <c r="R326">
        <f t="shared" ca="1" si="126"/>
        <v>-176.33246956208103</v>
      </c>
      <c r="T326" t="str">
        <f t="shared" si="136"/>
        <v>1+774i</v>
      </c>
      <c r="U326" t="str">
        <f t="shared" si="137"/>
        <v>1+45i</v>
      </c>
      <c r="V326" t="str">
        <f t="shared" si="138"/>
        <v>-0.0000968992248062016i</v>
      </c>
      <c r="W326" t="str">
        <f t="shared" si="146"/>
        <v>0.0000348665029041071-0.00166589185549102i</v>
      </c>
      <c r="X326">
        <f t="shared" si="147"/>
        <v>-55.565161893009211</v>
      </c>
      <c r="Y326">
        <f t="shared" si="148"/>
        <v>-88.800995493681057</v>
      </c>
      <c r="Z326">
        <f t="shared" si="149"/>
        <v>716197.24391352909</v>
      </c>
      <c r="AA326">
        <f t="shared" ca="1" si="139"/>
        <v>-39.299573776467916</v>
      </c>
      <c r="AB326">
        <f t="shared" ca="1" si="140"/>
        <v>-1.5464313402077181</v>
      </c>
    </row>
    <row r="327" spans="1:28" x14ac:dyDescent="0.2">
      <c r="A327">
        <v>4600000</v>
      </c>
      <c r="B327" t="str">
        <f t="shared" si="141"/>
        <v>4600000i</v>
      </c>
      <c r="C327" t="str">
        <f t="shared" ca="1" si="127"/>
        <v>1+61.8901886764681i</v>
      </c>
      <c r="D327" t="str">
        <f t="shared" ca="1" si="128"/>
        <v>1+32.4920579506972i</v>
      </c>
      <c r="E327" t="str">
        <f t="shared" ca="1" si="129"/>
        <v>1+21025.5097106508i</v>
      </c>
      <c r="F327">
        <f t="shared" ca="1" si="130"/>
        <v>69.486139019499433</v>
      </c>
      <c r="G327" t="str">
        <f t="shared" ca="1" si="142"/>
        <v>0.311603163879185+6.64256209656607i</v>
      </c>
      <c r="H327">
        <f t="shared" ca="1" si="143"/>
        <v>16.456258854657534</v>
      </c>
      <c r="I327">
        <f t="shared" ca="1" si="144"/>
        <v>87.314218931354105</v>
      </c>
      <c r="K327" t="str">
        <f t="shared" ca="1" si="131"/>
        <v>1+61.8901886764681i</v>
      </c>
      <c r="L327" t="str">
        <f t="shared" ca="1" si="132"/>
        <v>1-17.0256665889637i</v>
      </c>
      <c r="M327" t="str">
        <f t="shared" ca="1" si="133"/>
        <v>1+19804.8603764698i</v>
      </c>
      <c r="N327" t="str">
        <f t="shared" si="134"/>
        <v>1+49.8429400900678i</v>
      </c>
      <c r="O327">
        <f t="shared" ca="1" si="135"/>
        <v>30.873410267617786</v>
      </c>
      <c r="P327" t="str">
        <f t="shared" ca="1" si="125"/>
        <v>-0.0329458038688682-0.00206583420928445i</v>
      </c>
      <c r="Q327">
        <f t="shared" ca="1" si="145"/>
        <v>-29.626955744722117</v>
      </c>
      <c r="R327">
        <f t="shared" ca="1" si="126"/>
        <v>-176.41202200709424</v>
      </c>
      <c r="T327" t="str">
        <f t="shared" si="136"/>
        <v>1+791.2i</v>
      </c>
      <c r="U327" t="str">
        <f t="shared" si="137"/>
        <v>1+46i</v>
      </c>
      <c r="V327" t="str">
        <f t="shared" si="138"/>
        <v>-0.0000947927199191102i</v>
      </c>
      <c r="W327" t="str">
        <f t="shared" si="146"/>
        <v>0.0000333677538420977-0.00162970939665561i</v>
      </c>
      <c r="X327">
        <f t="shared" si="147"/>
        <v>-55.755976374725734</v>
      </c>
      <c r="Y327">
        <f t="shared" si="148"/>
        <v>-88.827051998403633</v>
      </c>
      <c r="Z327">
        <f t="shared" si="149"/>
        <v>732112.73822271859</v>
      </c>
      <c r="AA327">
        <f t="shared" ca="1" si="139"/>
        <v>-39.299717520068199</v>
      </c>
      <c r="AB327">
        <f t="shared" ca="1" si="140"/>
        <v>-1.5128330670495274</v>
      </c>
    </row>
    <row r="328" spans="1:28" x14ac:dyDescent="0.2">
      <c r="A328">
        <v>4700000</v>
      </c>
      <c r="B328" t="str">
        <f t="shared" si="141"/>
        <v>4700000i</v>
      </c>
      <c r="C328" t="str">
        <f t="shared" ca="1" si="127"/>
        <v>1+63.2356275607391i</v>
      </c>
      <c r="D328" t="str">
        <f t="shared" ca="1" si="128"/>
        <v>1+33.1984070365819i</v>
      </c>
      <c r="E328" t="str">
        <f t="shared" ca="1" si="129"/>
        <v>1+21482.5860087085i</v>
      </c>
      <c r="F328">
        <f t="shared" ca="1" si="130"/>
        <v>69.486139019499433</v>
      </c>
      <c r="G328" t="str">
        <f t="shared" ca="1" si="142"/>
        <v>0.311603157291384+6.78710714338901i</v>
      </c>
      <c r="H328">
        <f t="shared" ca="1" si="143"/>
        <v>16.642838631057771</v>
      </c>
      <c r="I328">
        <f t="shared" ca="1" si="144"/>
        <v>87.371336975107965</v>
      </c>
      <c r="K328" t="str">
        <f t="shared" ca="1" si="131"/>
        <v>1+63.2356275607391i</v>
      </c>
      <c r="L328" t="str">
        <f t="shared" ca="1" si="132"/>
        <v>1-17.3957897756803i</v>
      </c>
      <c r="M328" t="str">
        <f t="shared" ca="1" si="133"/>
        <v>1+20235.4008194365i</v>
      </c>
      <c r="N328" t="str">
        <f t="shared" si="134"/>
        <v>1+50.9264822659389i</v>
      </c>
      <c r="O328">
        <f t="shared" ca="1" si="135"/>
        <v>30.873410267617786</v>
      </c>
      <c r="P328" t="str">
        <f t="shared" ca="1" si="125"/>
        <v>-0.0329462348954821-0.00202188868871785i</v>
      </c>
      <c r="Q328">
        <f t="shared" ca="1" si="145"/>
        <v>-29.627558533122496</v>
      </c>
      <c r="R328">
        <f t="shared" ca="1" si="126"/>
        <v>-176.48820012021585</v>
      </c>
      <c r="T328" t="str">
        <f t="shared" si="136"/>
        <v>1+808.4i</v>
      </c>
      <c r="U328" t="str">
        <f t="shared" si="137"/>
        <v>1+47i</v>
      </c>
      <c r="V328" t="str">
        <f t="shared" si="138"/>
        <v>-0.0000927758535378526i</v>
      </c>
      <c r="W328" t="str">
        <f t="shared" si="146"/>
        <v>0.0000319635904451226-0.00159506460445861i</v>
      </c>
      <c r="X328">
        <f t="shared" si="147"/>
        <v>-55.942690823460396</v>
      </c>
      <c r="Y328">
        <f t="shared" si="148"/>
        <v>-88.852000260030124</v>
      </c>
      <c r="Z328">
        <f t="shared" si="149"/>
        <v>748028.23253190808</v>
      </c>
      <c r="AA328">
        <f t="shared" ca="1" si="139"/>
        <v>-39.299852192402625</v>
      </c>
      <c r="AB328">
        <f t="shared" ca="1" si="140"/>
        <v>-1.4806632849221586</v>
      </c>
    </row>
    <row r="329" spans="1:28" x14ac:dyDescent="0.2">
      <c r="A329">
        <v>4800000</v>
      </c>
      <c r="B329" t="str">
        <f t="shared" si="141"/>
        <v>4800000i</v>
      </c>
      <c r="C329" t="str">
        <f t="shared" ca="1" si="127"/>
        <v>1+64.5810664450102i</v>
      </c>
      <c r="D329" t="str">
        <f t="shared" ca="1" si="128"/>
        <v>1+33.9047561224666i</v>
      </c>
      <c r="E329" t="str">
        <f t="shared" ca="1" si="129"/>
        <v>1+21939.6623067661i</v>
      </c>
      <c r="F329">
        <f t="shared" ca="1" si="130"/>
        <v>69.486139019499433</v>
      </c>
      <c r="G329" t="str">
        <f t="shared" ca="1" si="142"/>
        <v>0.311603151111017+6.93164927351967i</v>
      </c>
      <c r="H329">
        <f t="shared" ca="1" si="143"/>
        <v>16.825499116989306</v>
      </c>
      <c r="I329">
        <f t="shared" ca="1" si="144"/>
        <v>87.4260766880587</v>
      </c>
      <c r="K329" t="str">
        <f t="shared" ca="1" si="131"/>
        <v>1+64.5810664450102i</v>
      </c>
      <c r="L329" t="str">
        <f t="shared" ca="1" si="132"/>
        <v>1-17.7659129623969i</v>
      </c>
      <c r="M329" t="str">
        <f t="shared" ca="1" si="133"/>
        <v>1+20665.9412624032i</v>
      </c>
      <c r="N329" t="str">
        <f t="shared" si="134"/>
        <v>1+52.0100244418099i</v>
      </c>
      <c r="O329">
        <f t="shared" ca="1" si="135"/>
        <v>30.873410267617786</v>
      </c>
      <c r="P329" t="str">
        <f t="shared" ca="1" si="125"/>
        <v>-0.0329466392777293-0.00197977372314691i</v>
      </c>
      <c r="Q329">
        <f t="shared" ca="1" si="145"/>
        <v>-29.628124123176718</v>
      </c>
      <c r="R329">
        <f t="shared" ca="1" si="126"/>
        <v>-176.56121392163431</v>
      </c>
      <c r="T329" t="str">
        <f t="shared" si="136"/>
        <v>1+825.6i</v>
      </c>
      <c r="U329" t="str">
        <f t="shared" si="137"/>
        <v>1+48i</v>
      </c>
      <c r="V329" t="str">
        <f t="shared" si="138"/>
        <v>-0.000090843023255814i</v>
      </c>
      <c r="W329" t="str">
        <f t="shared" si="146"/>
        <v>0.0000306462190384906-0.00156186153710336i</v>
      </c>
      <c r="X329">
        <f t="shared" si="147"/>
        <v>-56.125477657879614</v>
      </c>
      <c r="Y329">
        <f t="shared" si="148"/>
        <v>-88.875909499823067</v>
      </c>
      <c r="Z329">
        <f t="shared" si="149"/>
        <v>763943.7268410977</v>
      </c>
      <c r="AA329">
        <f t="shared" ca="1" si="139"/>
        <v>-39.299978540890308</v>
      </c>
      <c r="AB329">
        <f t="shared" ca="1" si="140"/>
        <v>-1.4498328117643666</v>
      </c>
    </row>
    <row r="330" spans="1:28" x14ac:dyDescent="0.2">
      <c r="A330">
        <v>4900000</v>
      </c>
      <c r="B330" t="str">
        <f t="shared" si="141"/>
        <v>4900000i</v>
      </c>
      <c r="C330" t="str">
        <f t="shared" ca="1" si="127"/>
        <v>1+65.9265053292812i</v>
      </c>
      <c r="D330" t="str">
        <f t="shared" ca="1" si="128"/>
        <v>1+34.6111052083513i</v>
      </c>
      <c r="E330" t="str">
        <f t="shared" ca="1" si="129"/>
        <v>1+22396.7386048237i</v>
      </c>
      <c r="F330">
        <f t="shared" ca="1" si="130"/>
        <v>69.486139019499433</v>
      </c>
      <c r="G330" t="str">
        <f t="shared" ca="1" si="142"/>
        <v>0.311603145305166+7.07618866553106i</v>
      </c>
      <c r="H330">
        <f t="shared" ca="1" si="143"/>
        <v>17.004401411161986</v>
      </c>
      <c r="I330">
        <f t="shared" ca="1" si="144"/>
        <v>87.478583556736169</v>
      </c>
      <c r="K330" t="str">
        <f t="shared" ca="1" si="131"/>
        <v>1+65.9265053292812i</v>
      </c>
      <c r="L330" t="str">
        <f t="shared" ca="1" si="132"/>
        <v>1-18.1360361491135i</v>
      </c>
      <c r="M330" t="str">
        <f t="shared" ca="1" si="133"/>
        <v>1+21096.48170537i</v>
      </c>
      <c r="N330" t="str">
        <f t="shared" si="134"/>
        <v>1+53.093566617681i</v>
      </c>
      <c r="O330">
        <f t="shared" ca="1" si="135"/>
        <v>30.873410267617786</v>
      </c>
      <c r="P330" t="str">
        <f t="shared" ca="1" si="125"/>
        <v>-0.0329470191670183-0.00193937727798586i</v>
      </c>
      <c r="Q330">
        <f t="shared" ca="1" si="145"/>
        <v>-29.628655512260416</v>
      </c>
      <c r="R330">
        <f t="shared" ca="1" si="126"/>
        <v>-176.63125637332919</v>
      </c>
      <c r="T330" t="str">
        <f t="shared" si="136"/>
        <v>1+842.8i</v>
      </c>
      <c r="U330" t="str">
        <f t="shared" si="137"/>
        <v>1+49i</v>
      </c>
      <c r="V330" t="str">
        <f t="shared" si="138"/>
        <v>-0.0000889890840056953i</v>
      </c>
      <c r="W330" t="str">
        <f t="shared" si="146"/>
        <v>0.000029408632341266-0.00153001206872773i</v>
      </c>
      <c r="X330">
        <f t="shared" si="147"/>
        <v>-56.304498648700879</v>
      </c>
      <c r="Y330">
        <f t="shared" si="148"/>
        <v>-88.898843292673362</v>
      </c>
      <c r="Z330">
        <f t="shared" si="149"/>
        <v>779859.22115028719</v>
      </c>
      <c r="AA330">
        <f t="shared" ca="1" si="139"/>
        <v>-39.300097237538893</v>
      </c>
      <c r="AB330">
        <f t="shared" ca="1" si="140"/>
        <v>-1.4202597359371936</v>
      </c>
    </row>
    <row r="331" spans="1:28" x14ac:dyDescent="0.2">
      <c r="A331">
        <v>5000000</v>
      </c>
      <c r="B331" t="str">
        <f t="shared" si="141"/>
        <v>5000000i</v>
      </c>
      <c r="C331" t="str">
        <f t="shared" ca="1" si="127"/>
        <v>1+67.2719442135522i</v>
      </c>
      <c r="D331" t="str">
        <f t="shared" ca="1" si="128"/>
        <v>1+35.3174542942361i</v>
      </c>
      <c r="E331" t="str">
        <f t="shared" ca="1" si="129"/>
        <v>1+22853.8149028814i</v>
      </c>
      <c r="F331">
        <f t="shared" ca="1" si="130"/>
        <v>69.486139019499433</v>
      </c>
      <c r="G331" t="str">
        <f t="shared" ca="1" si="142"/>
        <v>0.311603139844169+7.22072548371021i</v>
      </c>
      <c r="H331">
        <f t="shared" ca="1" si="143"/>
        <v>17.179696889563559</v>
      </c>
      <c r="I331">
        <f t="shared" ca="1" si="144"/>
        <v>87.528991440917466</v>
      </c>
      <c r="K331" t="str">
        <f t="shared" ca="1" si="131"/>
        <v>1+67.2719442135522i</v>
      </c>
      <c r="L331" t="str">
        <f t="shared" ca="1" si="132"/>
        <v>1-18.5061593358301i</v>
      </c>
      <c r="M331" t="str">
        <f t="shared" ca="1" si="133"/>
        <v>1+21527.0221483367i</v>
      </c>
      <c r="N331" t="str">
        <f t="shared" si="134"/>
        <v>1+54.177108793552i</v>
      </c>
      <c r="O331">
        <f t="shared" ca="1" si="135"/>
        <v>30.873410267617786</v>
      </c>
      <c r="P331" t="str">
        <f t="shared" ca="1" si="125"/>
        <v>-0.0329473765019402-0.00190059627751786i</v>
      </c>
      <c r="Q331">
        <f t="shared" ca="1" si="145"/>
        <v>-29.629155401962002</v>
      </c>
      <c r="R331">
        <f t="shared" ca="1" si="126"/>
        <v>-176.69850507488826</v>
      </c>
      <c r="T331" t="str">
        <f t="shared" si="136"/>
        <v>1+860i</v>
      </c>
      <c r="U331" t="str">
        <f t="shared" si="137"/>
        <v>1+50i</v>
      </c>
      <c r="V331" t="str">
        <f t="shared" si="138"/>
        <v>-0.0000872093023255814i</v>
      </c>
      <c r="W331" t="str">
        <f t="shared" si="146"/>
        <v>0.0000282445161470296-0.00149943510967706i</v>
      </c>
      <c r="X331">
        <f t="shared" si="147"/>
        <v>-56.47990577745658</v>
      </c>
      <c r="Y331">
        <f t="shared" si="148"/>
        <v>-88.920860131232146</v>
      </c>
      <c r="Z331">
        <f t="shared" si="149"/>
        <v>795774.71545947669</v>
      </c>
      <c r="AA331">
        <f t="shared" ca="1" si="139"/>
        <v>-39.300208887893021</v>
      </c>
      <c r="AB331">
        <f t="shared" ca="1" si="140"/>
        <v>-1.3918686903146806</v>
      </c>
    </row>
    <row r="332" spans="1:28" x14ac:dyDescent="0.2">
      <c r="A332">
        <v>5100000</v>
      </c>
      <c r="B332" t="str">
        <f t="shared" si="141"/>
        <v>5100000i</v>
      </c>
      <c r="C332" t="str">
        <f t="shared" ca="1" si="127"/>
        <v>1+68.6173830978233i</v>
      </c>
      <c r="D332" t="str">
        <f t="shared" ca="1" si="128"/>
        <v>1+36.0238033801208i</v>
      </c>
      <c r="E332" t="str">
        <f t="shared" ca="1" si="129"/>
        <v>1+23310.891200939i</v>
      </c>
      <c r="F332">
        <f t="shared" ca="1" si="130"/>
        <v>69.486139019499433</v>
      </c>
      <c r="G332" t="str">
        <f t="shared" ca="1" si="142"/>
        <v>0.311603134701248+7.36525987945917i</v>
      </c>
      <c r="H332">
        <f t="shared" ca="1" si="143"/>
        <v>17.351527971657195</v>
      </c>
      <c r="I332">
        <f t="shared" ca="1" si="144"/>
        <v>87.577423712116399</v>
      </c>
      <c r="K332" t="str">
        <f t="shared" ca="1" si="131"/>
        <v>1+68.6173830978233i</v>
      </c>
      <c r="L332" t="str">
        <f t="shared" ca="1" si="132"/>
        <v>1-18.8762825225467i</v>
      </c>
      <c r="M332" t="str">
        <f t="shared" ca="1" si="133"/>
        <v>1+21957.5625913034i</v>
      </c>
      <c r="N332" t="str">
        <f t="shared" si="134"/>
        <v>1+55.260650969423i</v>
      </c>
      <c r="O332">
        <f t="shared" ca="1" si="135"/>
        <v>30.873410267617786</v>
      </c>
      <c r="P332" t="str">
        <f t="shared" ca="1" si="125"/>
        <v>-0.032947713033036-0.00186333572701913i</v>
      </c>
      <c r="Q332">
        <f t="shared" ca="1" si="145"/>
        <v>-29.629626232414481</v>
      </c>
      <c r="R332">
        <f t="shared" ca="1" si="126"/>
        <v>-176.76312376114396</v>
      </c>
      <c r="T332" t="str">
        <f t="shared" si="136"/>
        <v>1+877.2i</v>
      </c>
      <c r="U332" t="str">
        <f t="shared" si="137"/>
        <v>1+51i</v>
      </c>
      <c r="V332" t="str">
        <f t="shared" si="138"/>
        <v>-0.000085499316005472i</v>
      </c>
      <c r="W332" t="str">
        <f t="shared" si="146"/>
        <v>0.0000271481686716837-0.00147005591826134i</v>
      </c>
      <c r="X332">
        <f t="shared" si="147"/>
        <v>-56.651842010424559</v>
      </c>
      <c r="Y332">
        <f t="shared" si="148"/>
        <v>-88.942013923741456</v>
      </c>
      <c r="Z332">
        <f t="shared" si="149"/>
        <v>811690.20976866619</v>
      </c>
      <c r="AA332">
        <f t="shared" ca="1" si="139"/>
        <v>-39.300314038767368</v>
      </c>
      <c r="AB332">
        <f t="shared" ca="1" si="140"/>
        <v>-1.3645902116250568</v>
      </c>
    </row>
    <row r="333" spans="1:28" x14ac:dyDescent="0.2">
      <c r="A333">
        <v>5200000</v>
      </c>
      <c r="B333" t="str">
        <f t="shared" si="141"/>
        <v>5200000i</v>
      </c>
      <c r="C333" t="str">
        <f t="shared" ca="1" si="127"/>
        <v>1+69.9628219820943i</v>
      </c>
      <c r="D333" t="str">
        <f t="shared" ca="1" si="128"/>
        <v>1+36.7301524660055i</v>
      </c>
      <c r="E333" t="str">
        <f t="shared" ca="1" si="129"/>
        <v>1+23767.9674989966i</v>
      </c>
      <c r="F333">
        <f t="shared" ca="1" si="130"/>
        <v>69.486139019499433</v>
      </c>
      <c r="G333" t="str">
        <f t="shared" ca="1" si="142"/>
        <v>0.311603129852171+7.5097919925334i</v>
      </c>
      <c r="H333">
        <f t="shared" ca="1" si="143"/>
        <v>17.520028812632638</v>
      </c>
      <c r="I333">
        <f t="shared" ca="1" si="144"/>
        <v>87.623994260889816</v>
      </c>
      <c r="K333" t="str">
        <f t="shared" ca="1" si="131"/>
        <v>1+69.9628219820943i</v>
      </c>
      <c r="L333" t="str">
        <f t="shared" ca="1" si="132"/>
        <v>1-19.2464057092633i</v>
      </c>
      <c r="M333" t="str">
        <f t="shared" ca="1" si="133"/>
        <v>1+22388.1030342702i</v>
      </c>
      <c r="N333" t="str">
        <f t="shared" si="134"/>
        <v>1+56.3441931452941i</v>
      </c>
      <c r="O333">
        <f t="shared" ca="1" si="135"/>
        <v>30.873410267617786</v>
      </c>
      <c r="P333" t="str">
        <f t="shared" ca="1" si="125"/>
        <v>-0.0329480303442682-0.00182750793611867i</v>
      </c>
      <c r="Q333">
        <f t="shared" ca="1" si="145"/>
        <v>-29.630070212067935</v>
      </c>
      <c r="R333">
        <f t="shared" ca="1" si="126"/>
        <v>-176.82526362810864</v>
      </c>
      <c r="T333" t="str">
        <f t="shared" si="136"/>
        <v>1+894.4i</v>
      </c>
      <c r="U333" t="str">
        <f t="shared" si="137"/>
        <v>1+52i</v>
      </c>
      <c r="V333" t="str">
        <f t="shared" si="138"/>
        <v>-0.0000838550983899821i</v>
      </c>
      <c r="W333" t="str">
        <f t="shared" si="146"/>
        <v>0.000026114430640932-0.00144180549171844i</v>
      </c>
      <c r="X333">
        <f t="shared" si="147"/>
        <v>-56.820441997584183</v>
      </c>
      <c r="Y333">
        <f t="shared" si="148"/>
        <v>-88.962354434478783</v>
      </c>
      <c r="Z333">
        <f t="shared" si="149"/>
        <v>827605.7040778558</v>
      </c>
      <c r="AA333">
        <f t="shared" ca="1" si="139"/>
        <v>-39.300413184951545</v>
      </c>
      <c r="AB333">
        <f t="shared" ca="1" si="140"/>
        <v>-1.338360173588967</v>
      </c>
    </row>
    <row r="334" spans="1:28" x14ac:dyDescent="0.2">
      <c r="A334">
        <v>5300000</v>
      </c>
      <c r="B334" t="str">
        <f t="shared" si="141"/>
        <v>5300000i</v>
      </c>
      <c r="C334" t="str">
        <f t="shared" ca="1" si="127"/>
        <v>1+71.3082608663654i</v>
      </c>
      <c r="D334" t="str">
        <f t="shared" ca="1" si="128"/>
        <v>1+37.4365015518902i</v>
      </c>
      <c r="E334" t="str">
        <f t="shared" ca="1" si="129"/>
        <v>1+24225.0437970542i</v>
      </c>
      <c r="F334">
        <f t="shared" ca="1" si="130"/>
        <v>69.486139019499433</v>
      </c>
      <c r="G334" t="str">
        <f t="shared" ca="1" si="142"/>
        <v>0.311603125274974+7.65432195214101i</v>
      </c>
      <c r="H334">
        <f t="shared" ca="1" si="143"/>
        <v>17.685325930107108</v>
      </c>
      <c r="I334">
        <f t="shared" ca="1" si="144"/>
        <v>87.66880839026112</v>
      </c>
      <c r="K334" t="str">
        <f t="shared" ca="1" si="131"/>
        <v>1+71.3082608663654i</v>
      </c>
      <c r="L334" t="str">
        <f t="shared" ca="1" si="132"/>
        <v>1-19.6165288959799i</v>
      </c>
      <c r="M334" t="str">
        <f t="shared" ca="1" si="133"/>
        <v>1+22818.6434772369i</v>
      </c>
      <c r="N334" t="str">
        <f t="shared" si="134"/>
        <v>1+57.4277353211651i</v>
      </c>
      <c r="O334">
        <f t="shared" ca="1" si="135"/>
        <v>30.873410267617786</v>
      </c>
      <c r="P334" t="str">
        <f t="shared" ca="1" si="125"/>
        <v>-0.0329483298716838-0.00179303183003074i</v>
      </c>
      <c r="Q334">
        <f t="shared" ca="1" si="145"/>
        <v>-29.630489343582866</v>
      </c>
      <c r="R334">
        <f t="shared" ca="1" si="126"/>
        <v>-176.88506450972625</v>
      </c>
      <c r="T334" t="str">
        <f t="shared" si="136"/>
        <v>1+911.6i</v>
      </c>
      <c r="U334" t="str">
        <f t="shared" si="137"/>
        <v>1+53i</v>
      </c>
      <c r="V334" t="str">
        <f t="shared" si="138"/>
        <v>-0.0000822729267222466i</v>
      </c>
      <c r="W334" t="str">
        <f t="shared" si="146"/>
        <v>0.0000251386245137797-0.00141462002595257i</v>
      </c>
      <c r="X334">
        <f t="shared" si="147"/>
        <v>-56.985832705144446</v>
      </c>
      <c r="Y334">
        <f t="shared" si="148"/>
        <v>-88.981927674386739</v>
      </c>
      <c r="Z334">
        <f t="shared" si="149"/>
        <v>843521.1983870453</v>
      </c>
      <c r="AA334">
        <f t="shared" ca="1" si="139"/>
        <v>-39.300506775037334</v>
      </c>
      <c r="AB334">
        <f t="shared" ca="1" si="140"/>
        <v>-1.3131192841256194</v>
      </c>
    </row>
    <row r="335" spans="1:28" x14ac:dyDescent="0.2">
      <c r="A335">
        <v>5400000</v>
      </c>
      <c r="B335" t="str">
        <f t="shared" si="141"/>
        <v>5400000i</v>
      </c>
      <c r="C335" t="str">
        <f t="shared" ca="1" si="127"/>
        <v>1+72.6536997506364i</v>
      </c>
      <c r="D335" t="str">
        <f t="shared" ca="1" si="128"/>
        <v>1+38.142850637775i</v>
      </c>
      <c r="E335" t="str">
        <f t="shared" ca="1" si="129"/>
        <v>1+24682.1200951119i</v>
      </c>
      <c r="F335">
        <f t="shared" ca="1" si="130"/>
        <v>69.486139019499433</v>
      </c>
      <c r="G335" t="str">
        <f t="shared" ca="1" si="142"/>
        <v>0.311603120949701+7.79884987791893i</v>
      </c>
      <c r="H335">
        <f t="shared" ca="1" si="143"/>
        <v>17.847538772577025</v>
      </c>
      <c r="I335">
        <f t="shared" ca="1" si="144"/>
        <v>87.711963610000694</v>
      </c>
      <c r="K335" t="str">
        <f t="shared" ca="1" si="131"/>
        <v>1+72.6536997506364i</v>
      </c>
      <c r="L335" t="str">
        <f t="shared" ca="1" si="132"/>
        <v>1-19.9866520826965i</v>
      </c>
      <c r="M335" t="str">
        <f t="shared" ca="1" si="133"/>
        <v>1+23249.1839202037i</v>
      </c>
      <c r="N335" t="str">
        <f t="shared" si="134"/>
        <v>1+58.5112774970362i</v>
      </c>
      <c r="O335">
        <f t="shared" ca="1" si="135"/>
        <v>30.873410267617786</v>
      </c>
      <c r="P335" t="str">
        <f t="shared" ca="1" si="125"/>
        <v>-0.0329486129196845-0.00175983233727667i</v>
      </c>
      <c r="Q335">
        <f t="shared" ca="1" si="145"/>
        <v>-29.630885446410034</v>
      </c>
      <c r="R335">
        <f t="shared" ca="1" si="126"/>
        <v>-176.94265592464657</v>
      </c>
      <c r="T335" t="str">
        <f t="shared" si="136"/>
        <v>1+928.8i</v>
      </c>
      <c r="U335" t="str">
        <f t="shared" si="137"/>
        <v>1+54i</v>
      </c>
      <c r="V335" t="str">
        <f t="shared" si="138"/>
        <v>-0.000080749354005168i</v>
      </c>
      <c r="W335" t="str">
        <f t="shared" si="146"/>
        <v>0.0000242165015028183-0.00138844043515736i</v>
      </c>
      <c r="X335">
        <f t="shared" si="147"/>
        <v>-57.148133989076868</v>
      </c>
      <c r="Y335">
        <f t="shared" si="148"/>
        <v>-89.000776248338425</v>
      </c>
      <c r="Z335">
        <f t="shared" si="149"/>
        <v>859436.69269623479</v>
      </c>
      <c r="AA335">
        <f t="shared" ca="1" si="139"/>
        <v>-39.300595216499843</v>
      </c>
      <c r="AB335">
        <f t="shared" ca="1" si="140"/>
        <v>-1.2888126383377312</v>
      </c>
    </row>
    <row r="336" spans="1:28" x14ac:dyDescent="0.2">
      <c r="A336">
        <v>5500000</v>
      </c>
      <c r="B336" t="str">
        <f t="shared" si="141"/>
        <v>5500000i</v>
      </c>
      <c r="C336" t="str">
        <f t="shared" ca="1" si="127"/>
        <v>1+73.9991386349075i</v>
      </c>
      <c r="D336" t="str">
        <f t="shared" ca="1" si="128"/>
        <v>1+38.8491997236597i</v>
      </c>
      <c r="E336" t="str">
        <f t="shared" ca="1" si="129"/>
        <v>1+25139.1963931695i</v>
      </c>
      <c r="F336">
        <f t="shared" ca="1" si="130"/>
        <v>69.486139019499433</v>
      </c>
      <c r="G336" t="str">
        <f t="shared" ca="1" si="142"/>
        <v>0.311603116858203+7.94337588080342i</v>
      </c>
      <c r="H336">
        <f t="shared" ca="1" si="143"/>
        <v>18.006780235995333</v>
      </c>
      <c r="I336">
        <f t="shared" ca="1" si="144"/>
        <v>87.75355034436447</v>
      </c>
      <c r="K336" t="str">
        <f t="shared" ca="1" si="131"/>
        <v>1+73.9991386349075i</v>
      </c>
      <c r="L336" t="str">
        <f t="shared" ca="1" si="132"/>
        <v>1-20.3567752694131i</v>
      </c>
      <c r="M336" t="str">
        <f t="shared" ca="1" si="133"/>
        <v>1+23679.7243631704i</v>
      </c>
      <c r="N336" t="str">
        <f t="shared" si="134"/>
        <v>1+59.5948196729072i</v>
      </c>
      <c r="O336">
        <f t="shared" ca="1" si="135"/>
        <v>30.873410267617786</v>
      </c>
      <c r="P336" t="str">
        <f t="shared" ca="1" si="125"/>
        <v>-0.0329488806752461-0.00172783984416646i</v>
      </c>
      <c r="Q336">
        <f t="shared" ca="1" si="145"/>
        <v>-29.631260176533253</v>
      </c>
      <c r="R336">
        <f t="shared" ca="1" si="126"/>
        <v>-176.99815800945515</v>
      </c>
      <c r="T336" t="str">
        <f t="shared" si="136"/>
        <v>1+946i</v>
      </c>
      <c r="U336" t="str">
        <f t="shared" si="137"/>
        <v>1+55i</v>
      </c>
      <c r="V336" t="str">
        <f t="shared" si="138"/>
        <v>-0.0000792811839323467i</v>
      </c>
      <c r="W336" t="str">
        <f t="shared" si="146"/>
        <v>0.0000233441952689098-0.00136321192372238i</v>
      </c>
      <c r="X336">
        <f t="shared" si="147"/>
        <v>-57.307459116132627</v>
      </c>
      <c r="Y336">
        <f t="shared" si="148"/>
        <v>-89.018939664552278</v>
      </c>
      <c r="Z336">
        <f t="shared" si="149"/>
        <v>875352.18700542441</v>
      </c>
      <c r="AA336">
        <f t="shared" ca="1" si="139"/>
        <v>-39.300678880137298</v>
      </c>
      <c r="AB336">
        <f t="shared" ca="1" si="140"/>
        <v>-1.2653893201878077</v>
      </c>
    </row>
    <row r="337" spans="1:28" x14ac:dyDescent="0.2">
      <c r="A337">
        <v>5600000</v>
      </c>
      <c r="B337" t="str">
        <f t="shared" si="141"/>
        <v>5600000i</v>
      </c>
      <c r="C337" t="str">
        <f t="shared" ca="1" si="127"/>
        <v>1+75.3445775191785i</v>
      </c>
      <c r="D337" t="str">
        <f t="shared" ca="1" si="128"/>
        <v>1+39.5555488095444i</v>
      </c>
      <c r="E337" t="str">
        <f t="shared" ca="1" si="129"/>
        <v>1+25596.2726912271i</v>
      </c>
      <c r="F337">
        <f t="shared" ca="1" si="130"/>
        <v>69.486139019499433</v>
      </c>
      <c r="G337" t="str">
        <f t="shared" ca="1" si="142"/>
        <v>0.311603112983929+8.08790006380657i</v>
      </c>
      <c r="H337">
        <f t="shared" ca="1" si="143"/>
        <v>18.16315713404671</v>
      </c>
      <c r="I337">
        <f t="shared" ca="1" si="144"/>
        <v>87.793652564092937</v>
      </c>
      <c r="K337" t="str">
        <f t="shared" ca="1" si="131"/>
        <v>1+75.3445775191785i</v>
      </c>
      <c r="L337" t="str">
        <f t="shared" ca="1" si="132"/>
        <v>1-20.7268984561297i</v>
      </c>
      <c r="M337" t="str">
        <f t="shared" ca="1" si="133"/>
        <v>1+24110.2648061371i</v>
      </c>
      <c r="N337" t="str">
        <f t="shared" si="134"/>
        <v>1+60.6783618487782i</v>
      </c>
      <c r="O337">
        <f t="shared" ca="1" si="135"/>
        <v>30.873410267617786</v>
      </c>
      <c r="P337" t="str">
        <f t="shared" ca="1" si="125"/>
        <v>-0.0329491342203773-0.0016969897076999i</v>
      </c>
      <c r="Q337">
        <f t="shared" ca="1" si="145"/>
        <v>-29.631615043775035</v>
      </c>
      <c r="R337">
        <f t="shared" ca="1" si="126"/>
        <v>-177.05168235246308</v>
      </c>
      <c r="T337" t="str">
        <f t="shared" si="136"/>
        <v>1+963.2i</v>
      </c>
      <c r="U337" t="str">
        <f t="shared" si="137"/>
        <v>1+56i</v>
      </c>
      <c r="V337" t="str">
        <f t="shared" si="138"/>
        <v>-0.0000778654485049834i</v>
      </c>
      <c r="W337" t="str">
        <f t="shared" si="146"/>
        <v>0.0000225181813464204-0.00133888360390453i</v>
      </c>
      <c r="X337">
        <f t="shared" si="147"/>
        <v>-57.463915238008823</v>
      </c>
      <c r="Y337">
        <f t="shared" si="148"/>
        <v>-89.036454610882899</v>
      </c>
      <c r="Z337">
        <f t="shared" si="149"/>
        <v>891267.6813146139</v>
      </c>
      <c r="AA337">
        <f t="shared" ca="1" si="139"/>
        <v>-39.30075810396211</v>
      </c>
      <c r="AB337">
        <f t="shared" ca="1" si="140"/>
        <v>-1.2428020467899614</v>
      </c>
    </row>
    <row r="338" spans="1:28" x14ac:dyDescent="0.2">
      <c r="A338">
        <v>5700000</v>
      </c>
      <c r="B338" t="str">
        <f t="shared" si="141"/>
        <v>5700000i</v>
      </c>
      <c r="C338" t="str">
        <f t="shared" ca="1" si="127"/>
        <v>1+76.6900164034496i</v>
      </c>
      <c r="D338" t="str">
        <f t="shared" ca="1" si="128"/>
        <v>1+40.2618978954291i</v>
      </c>
      <c r="E338" t="str">
        <f t="shared" ca="1" si="129"/>
        <v>1+26053.3489892847i</v>
      </c>
      <c r="F338">
        <f t="shared" ca="1" si="130"/>
        <v>69.486139019499433</v>
      </c>
      <c r="G338" t="str">
        <f t="shared" ca="1" si="142"/>
        <v>0.311603109311769+8.23242252271162i</v>
      </c>
      <c r="H338">
        <f t="shared" ca="1" si="143"/>
        <v>18.316770627010595</v>
      </c>
      <c r="I338">
        <f t="shared" ca="1" si="144"/>
        <v>87.832348351960206</v>
      </c>
      <c r="K338" t="str">
        <f t="shared" ca="1" si="131"/>
        <v>1+76.6900164034496i</v>
      </c>
      <c r="L338" t="str">
        <f t="shared" ca="1" si="132"/>
        <v>1-21.0970216428463i</v>
      </c>
      <c r="M338" t="str">
        <f t="shared" ca="1" si="133"/>
        <v>1+24540.8052491039i</v>
      </c>
      <c r="N338" t="str">
        <f t="shared" si="134"/>
        <v>1+61.7619040246493i</v>
      </c>
      <c r="O338">
        <f t="shared" ca="1" si="135"/>
        <v>30.873410267617786</v>
      </c>
      <c r="P338" t="str">
        <f t="shared" ref="P338:P381" ca="1" si="150">IMDIV(IMPRODUCT(O338,K338,L338,),IMPRODUCT(M338,N338,))</f>
        <v>-0.0329493745430643-0.001667221819717i</v>
      </c>
      <c r="Q338">
        <f t="shared" ca="1" si="145"/>
        <v>-29.63195142700247</v>
      </c>
      <c r="R338">
        <f t="shared" ref="R338:R381" ca="1" si="151">IMARGUMENT(P338)*180/PI()</f>
        <v>-177.1033327401932</v>
      </c>
      <c r="T338" t="str">
        <f t="shared" si="136"/>
        <v>1+980.4i</v>
      </c>
      <c r="U338" t="str">
        <f t="shared" si="137"/>
        <v>1+57i</v>
      </c>
      <c r="V338" t="str">
        <f t="shared" si="138"/>
        <v>-0.000076499388004896i</v>
      </c>
      <c r="W338" t="str">
        <f t="shared" si="146"/>
        <v>0.0000217352415026834-0.00131540815365785i</v>
      </c>
      <c r="X338">
        <f t="shared" si="147"/>
        <v>-57.61760382362958</v>
      </c>
      <c r="Y338">
        <f t="shared" si="148"/>
        <v>-89.053355202052259</v>
      </c>
      <c r="Z338">
        <f t="shared" si="149"/>
        <v>907183.1756238034</v>
      </c>
      <c r="AA338">
        <f t="shared" ca="1" si="139"/>
        <v>-39.300833196618981</v>
      </c>
      <c r="AB338">
        <f t="shared" ca="1" si="140"/>
        <v>-1.2210068500920528</v>
      </c>
    </row>
    <row r="339" spans="1:28" x14ac:dyDescent="0.2">
      <c r="A339">
        <v>5800000</v>
      </c>
      <c r="B339" t="str">
        <f t="shared" si="141"/>
        <v>5800000i</v>
      </c>
      <c r="C339" t="str">
        <f t="shared" ca="1" si="127"/>
        <v>1+78.0354552877206i</v>
      </c>
      <c r="D339" t="str">
        <f t="shared" ca="1" si="128"/>
        <v>1+40.9682469813138i</v>
      </c>
      <c r="E339" t="str">
        <f t="shared" ca="1" si="129"/>
        <v>1+26510.4252873424i</v>
      </c>
      <c r="F339">
        <f t="shared" ca="1" si="130"/>
        <v>69.486139019499433</v>
      </c>
      <c r="G339" t="str">
        <f t="shared" ca="1" si="142"/>
        <v>0.311603105827906+8.37694334669602i</v>
      </c>
      <c r="H339">
        <f t="shared" ca="1" si="143"/>
        <v>18.467716613508134</v>
      </c>
      <c r="I339">
        <f t="shared" ca="1" si="144"/>
        <v>87.869710409882089</v>
      </c>
      <c r="K339" t="str">
        <f t="shared" ca="1" si="131"/>
        <v>1+78.0354552877206i</v>
      </c>
      <c r="L339" t="str">
        <f t="shared" ca="1" si="132"/>
        <v>1-21.4671448295629i</v>
      </c>
      <c r="M339" t="str">
        <f t="shared" ca="1" si="133"/>
        <v>1+24971.3456920706i</v>
      </c>
      <c r="N339" t="str">
        <f t="shared" si="134"/>
        <v>1+62.8454462005203i</v>
      </c>
      <c r="O339">
        <f t="shared" ca="1" si="135"/>
        <v>30.873410267617786</v>
      </c>
      <c r="P339" t="str">
        <f t="shared" ca="1" si="150"/>
        <v>-0.0329496025469066-0.0016384802161157i</v>
      </c>
      <c r="Q339">
        <f t="shared" ca="1" si="145"/>
        <v>-29.632270587519756</v>
      </c>
      <c r="R339">
        <f t="shared" ca="1" si="151"/>
        <v>-177.15320582703743</v>
      </c>
      <c r="T339" t="str">
        <f t="shared" si="136"/>
        <v>1+997.6i</v>
      </c>
      <c r="U339" t="str">
        <f t="shared" si="137"/>
        <v>1+58i</v>
      </c>
      <c r="V339" t="str">
        <f t="shared" si="138"/>
        <v>-0.0000751804330392943i</v>
      </c>
      <c r="W339" t="str">
        <f t="shared" si="146"/>
        <v>0.000020992432357718-0.00129274150978694i</v>
      </c>
      <c r="X339">
        <f t="shared" si="147"/>
        <v>-57.768621053901875</v>
      </c>
      <c r="Y339">
        <f t="shared" si="148"/>
        <v>-89.069673201325003</v>
      </c>
      <c r="Z339">
        <f t="shared" si="149"/>
        <v>923098.66993299301</v>
      </c>
      <c r="AA339">
        <f t="shared" ca="1" si="139"/>
        <v>-39.300904440393737</v>
      </c>
      <c r="AB339">
        <f t="shared" ca="1" si="140"/>
        <v>-1.1999627914429141</v>
      </c>
    </row>
    <row r="340" spans="1:28" x14ac:dyDescent="0.2">
      <c r="A340">
        <v>5900000</v>
      </c>
      <c r="B340" t="str">
        <f t="shared" si="141"/>
        <v>5900000i</v>
      </c>
      <c r="C340" t="str">
        <f t="shared" ca="1" si="127"/>
        <v>1+79.3808941719916i</v>
      </c>
      <c r="D340" t="str">
        <f t="shared" ca="1" si="128"/>
        <v>1+41.6745960671986i</v>
      </c>
      <c r="E340" t="str">
        <f t="shared" ca="1" si="129"/>
        <v>1+26967.5015854i</v>
      </c>
      <c r="F340">
        <f t="shared" ca="1" si="130"/>
        <v>69.486139019499433</v>
      </c>
      <c r="G340" t="str">
        <f t="shared" ca="1" si="142"/>
        <v>0.311603102519684+8.52146261889139i</v>
      </c>
      <c r="H340">
        <f t="shared" ca="1" si="143"/>
        <v>18.616086088919854</v>
      </c>
      <c r="I340">
        <f t="shared" ca="1" si="144"/>
        <v>87.905806514509152</v>
      </c>
      <c r="K340" t="str">
        <f t="shared" ca="1" si="131"/>
        <v>1+79.3808941719916i</v>
      </c>
      <c r="L340" t="str">
        <f t="shared" ca="1" si="132"/>
        <v>1-21.8372680162795i</v>
      </c>
      <c r="M340" t="str">
        <f t="shared" ca="1" si="133"/>
        <v>1+25401.8861350373i</v>
      </c>
      <c r="N340" t="str">
        <f t="shared" si="134"/>
        <v>1+63.9289883763914i</v>
      </c>
      <c r="O340">
        <f t="shared" ca="1" si="135"/>
        <v>30.873410267617786</v>
      </c>
      <c r="P340" t="str">
        <f t="shared" ca="1" si="150"/>
        <v>-0.0329498190596202-0.00161071272579246i</v>
      </c>
      <c r="Q340">
        <f t="shared" ca="1" si="145"/>
        <v>-29.632573680890189</v>
      </c>
      <c r="R340">
        <f t="shared" ca="1" si="151"/>
        <v>-177.20139173714887</v>
      </c>
      <c r="T340" t="str">
        <f t="shared" si="136"/>
        <v>1+1014.8i</v>
      </c>
      <c r="U340" t="str">
        <f t="shared" si="137"/>
        <v>1+59i</v>
      </c>
      <c r="V340" t="str">
        <f t="shared" si="138"/>
        <v>-0.0000739061884115097i</v>
      </c>
      <c r="W340" t="str">
        <f t="shared" si="146"/>
        <v>0.0000202870576920508-0.00127084259224251i</v>
      </c>
      <c r="X340">
        <f t="shared" si="147"/>
        <v>-57.917058182788949</v>
      </c>
      <c r="Y340">
        <f t="shared" si="148"/>
        <v>-89.085438219657448</v>
      </c>
      <c r="Z340">
        <f t="shared" si="149"/>
        <v>939014.16424218251</v>
      </c>
      <c r="AA340">
        <f t="shared" ca="1" si="139"/>
        <v>-39.300972093869092</v>
      </c>
      <c r="AB340">
        <f t="shared" ca="1" si="140"/>
        <v>-1.1796317051482959</v>
      </c>
    </row>
    <row r="341" spans="1:28" x14ac:dyDescent="0.2">
      <c r="A341">
        <v>6000000</v>
      </c>
      <c r="B341" t="str">
        <f t="shared" si="141"/>
        <v>6000000i</v>
      </c>
      <c r="C341" t="str">
        <f t="shared" ca="1" si="127"/>
        <v>1+80.7263330562627i</v>
      </c>
      <c r="D341" t="str">
        <f t="shared" ca="1" si="128"/>
        <v>1+42.3809451530833i</v>
      </c>
      <c r="E341" t="str">
        <f t="shared" ca="1" si="129"/>
        <v>1+27424.5778834576i</v>
      </c>
      <c r="F341">
        <f t="shared" ca="1" si="130"/>
        <v>69.486139019499433</v>
      </c>
      <c r="G341" t="str">
        <f t="shared" ca="1" si="142"/>
        <v>0.311603099375491+8.66598041688716i</v>
      </c>
      <c r="H341">
        <f t="shared" ca="1" si="143"/>
        <v>18.761965473816872</v>
      </c>
      <c r="I341">
        <f t="shared" ca="1" si="144"/>
        <v>87.940699927307065</v>
      </c>
      <c r="K341" t="str">
        <f t="shared" ca="1" si="131"/>
        <v>1+80.7263330562627i</v>
      </c>
      <c r="L341" t="str">
        <f t="shared" ca="1" si="132"/>
        <v>1-22.2073912029961i</v>
      </c>
      <c r="M341" t="str">
        <f t="shared" ca="1" si="133"/>
        <v>1+25832.4265780041i</v>
      </c>
      <c r="N341" t="str">
        <f t="shared" si="134"/>
        <v>1+65.0125305522624i</v>
      </c>
      <c r="O341">
        <f t="shared" ca="1" si="135"/>
        <v>30.873410267617786</v>
      </c>
      <c r="P341" t="str">
        <f t="shared" ca="1" si="150"/>
        <v>-0.0329500248405572-0.00158387065467383i</v>
      </c>
      <c r="Q341">
        <f t="shared" ca="1" si="145"/>
        <v>-29.632861767394747</v>
      </c>
      <c r="R341">
        <f t="shared" ca="1" si="151"/>
        <v>-177.24797460643109</v>
      </c>
      <c r="T341" t="str">
        <f t="shared" si="136"/>
        <v>1+1032i</v>
      </c>
      <c r="U341" t="str">
        <f t="shared" si="137"/>
        <v>1+60i</v>
      </c>
      <c r="V341" t="str">
        <f t="shared" si="138"/>
        <v>-0.0000726744186046512i</v>
      </c>
      <c r="W341" t="str">
        <f t="shared" si="146"/>
        <v>0.0000196166439554904-0.00124967305593408i</v>
      </c>
      <c r="X341">
        <f t="shared" si="147"/>
        <v>-58.063001868090169</v>
      </c>
      <c r="Y341">
        <f t="shared" si="148"/>
        <v>-89.100677894946173</v>
      </c>
      <c r="Z341">
        <f t="shared" si="149"/>
        <v>954929.65855137201</v>
      </c>
      <c r="AA341">
        <f t="shared" ca="1" si="139"/>
        <v>-39.301036394273297</v>
      </c>
      <c r="AB341">
        <f t="shared" ca="1" si="140"/>
        <v>-1.159977967639108</v>
      </c>
    </row>
    <row r="342" spans="1:28" x14ac:dyDescent="0.2">
      <c r="A342">
        <v>6100000</v>
      </c>
      <c r="B342" t="str">
        <f t="shared" si="141"/>
        <v>6100000i</v>
      </c>
      <c r="C342" t="str">
        <f t="shared" ca="1" si="127"/>
        <v>1+82.0717719405337i</v>
      </c>
      <c r="D342" t="str">
        <f t="shared" ca="1" si="128"/>
        <v>1+43.087294238968i</v>
      </c>
      <c r="E342" t="str">
        <f t="shared" ca="1" si="129"/>
        <v>1+27881.6541815153i</v>
      </c>
      <c r="F342">
        <f t="shared" ca="1" si="130"/>
        <v>69.486139019499433</v>
      </c>
      <c r="G342" t="str">
        <f t="shared" ca="1" si="142"/>
        <v>0.311603096384657+8.81049681318495i</v>
      </c>
      <c r="H342">
        <f t="shared" ca="1" si="143"/>
        <v>18.905436915365065</v>
      </c>
      <c r="I342">
        <f t="shared" ca="1" si="144"/>
        <v>87.974449764341273</v>
      </c>
      <c r="K342" t="str">
        <f t="shared" ca="1" si="131"/>
        <v>1+82.0717719405337i</v>
      </c>
      <c r="L342" t="str">
        <f t="shared" ca="1" si="132"/>
        <v>1-22.5775143897127i</v>
      </c>
      <c r="M342" t="str">
        <f t="shared" ca="1" si="133"/>
        <v>1+26262.9670209708i</v>
      </c>
      <c r="N342" t="str">
        <f t="shared" si="134"/>
        <v>1+66.0960727281334i</v>
      </c>
      <c r="O342">
        <f t="shared" ca="1" si="135"/>
        <v>30.873410267617786</v>
      </c>
      <c r="P342" t="str">
        <f t="shared" ca="1" si="150"/>
        <v>-0.0329502205873714-0.00155790850081406i</v>
      </c>
      <c r="Q342">
        <f t="shared" ca="1" si="145"/>
        <v>-29.633135821303505</v>
      </c>
      <c r="R342">
        <f t="shared" ca="1" si="151"/>
        <v>-177.29303307146191</v>
      </c>
      <c r="T342" t="str">
        <f t="shared" si="136"/>
        <v>1+1049.2i</v>
      </c>
      <c r="U342" t="str">
        <f t="shared" si="137"/>
        <v>1+61i</v>
      </c>
      <c r="V342" t="str">
        <f t="shared" si="138"/>
        <v>-0.0000714830346930995i</v>
      </c>
      <c r="W342" t="str">
        <f t="shared" si="146"/>
        <v>0.0000189789185609137-0.00122919706690884i</v>
      </c>
      <c r="X342">
        <f t="shared" si="147"/>
        <v>-58.206534474926848</v>
      </c>
      <c r="Y342">
        <f t="shared" si="148"/>
        <v>-89.115418053657947</v>
      </c>
      <c r="Z342">
        <f t="shared" si="149"/>
        <v>970845.15286056162</v>
      </c>
      <c r="AA342">
        <f t="shared" ca="1" si="139"/>
        <v>-39.301097559561782</v>
      </c>
      <c r="AB342">
        <f t="shared" ca="1" si="140"/>
        <v>-1.1409682893166746</v>
      </c>
    </row>
    <row r="343" spans="1:28" x14ac:dyDescent="0.2">
      <c r="A343">
        <v>6200000</v>
      </c>
      <c r="B343" t="str">
        <f t="shared" si="141"/>
        <v>6200000i</v>
      </c>
      <c r="C343" t="str">
        <f t="shared" ca="1" si="127"/>
        <v>1+83.4172108248048i</v>
      </c>
      <c r="D343" t="str">
        <f t="shared" ca="1" si="128"/>
        <v>1+43.7936433248527i</v>
      </c>
      <c r="E343" t="str">
        <f t="shared" ca="1" si="129"/>
        <v>1+28338.7304795729i</v>
      </c>
      <c r="F343">
        <f t="shared" ca="1" si="130"/>
        <v>69.486139019499433</v>
      </c>
      <c r="G343" t="str">
        <f t="shared" ca="1" si="142"/>
        <v>0.311603093537373+8.95501187560884i</v>
      </c>
      <c r="H343">
        <f t="shared" ca="1" si="143"/>
        <v>19.046578564325852</v>
      </c>
      <c r="I343">
        <f t="shared" ca="1" si="144"/>
        <v>88.007111330310465</v>
      </c>
      <c r="K343" t="str">
        <f t="shared" ca="1" si="131"/>
        <v>1+83.4172108248048i</v>
      </c>
      <c r="L343" t="str">
        <f t="shared" ca="1" si="132"/>
        <v>1-22.9476375764293i</v>
      </c>
      <c r="M343" t="str">
        <f t="shared" ca="1" si="133"/>
        <v>1+26693.5074639375i</v>
      </c>
      <c r="N343" t="str">
        <f t="shared" si="134"/>
        <v>1+67.1796149040045i</v>
      </c>
      <c r="O343">
        <f t="shared" ca="1" si="135"/>
        <v>30.873410267617786</v>
      </c>
      <c r="P343" t="str">
        <f t="shared" ca="1" si="150"/>
        <v>-0.0329504069419363-0.00153278369705286i</v>
      </c>
      <c r="Q343">
        <f t="shared" ca="1" si="145"/>
        <v>-29.633396739112122</v>
      </c>
      <c r="R343">
        <f t="shared" ca="1" si="151"/>
        <v>-177.3366407113127</v>
      </c>
      <c r="T343" t="str">
        <f t="shared" si="136"/>
        <v>1+1066.4i</v>
      </c>
      <c r="U343" t="str">
        <f t="shared" si="137"/>
        <v>1+62i</v>
      </c>
      <c r="V343" t="str">
        <f t="shared" si="138"/>
        <v>-0.0000703300825206302i</v>
      </c>
      <c r="W343" t="str">
        <f t="shared" si="146"/>
        <v>0.0000183717906069495-0.0012093811001515i</v>
      </c>
      <c r="X343">
        <f t="shared" si="147"/>
        <v>-58.347734354591594</v>
      </c>
      <c r="Y343">
        <f t="shared" si="148"/>
        <v>-89.129682856828595</v>
      </c>
      <c r="Z343">
        <f t="shared" si="149"/>
        <v>986760.64716975112</v>
      </c>
      <c r="AA343">
        <f t="shared" ca="1" si="139"/>
        <v>-39.301155790265739</v>
      </c>
      <c r="AB343">
        <f t="shared" ca="1" si="140"/>
        <v>-1.1225715265181293</v>
      </c>
    </row>
    <row r="344" spans="1:28" x14ac:dyDescent="0.2">
      <c r="A344">
        <v>6300000</v>
      </c>
      <c r="B344" t="str">
        <f t="shared" si="141"/>
        <v>6300000i</v>
      </c>
      <c r="C344" t="str">
        <f t="shared" ca="1" si="127"/>
        <v>1+84.7626497090758i</v>
      </c>
      <c r="D344" t="str">
        <f t="shared" ca="1" si="128"/>
        <v>1+44.4999924107374i</v>
      </c>
      <c r="E344" t="str">
        <f t="shared" ca="1" si="129"/>
        <v>1+28795.8067776305i</v>
      </c>
      <c r="F344">
        <f t="shared" ca="1" si="130"/>
        <v>69.486139019499433</v>
      </c>
      <c r="G344" t="str">
        <f t="shared" ca="1" si="142"/>
        <v>0.311603090824594+9.09952566767664i</v>
      </c>
      <c r="H344">
        <f t="shared" ca="1" si="143"/>
        <v>19.1854648299853</v>
      </c>
      <c r="I344">
        <f t="shared" ca="1" si="144"/>
        <v>88.038736420797036</v>
      </c>
      <c r="K344" t="str">
        <f t="shared" ca="1" si="131"/>
        <v>1+84.7626497090758i</v>
      </c>
      <c r="L344" t="str">
        <f t="shared" ca="1" si="132"/>
        <v>1-23.3177607631459i</v>
      </c>
      <c r="M344" t="str">
        <f t="shared" ca="1" si="133"/>
        <v>1+27124.0479069043i</v>
      </c>
      <c r="N344" t="str">
        <f t="shared" si="134"/>
        <v>1+68.2631570798755i</v>
      </c>
      <c r="O344">
        <f t="shared" ca="1" si="135"/>
        <v>30.873410267617786</v>
      </c>
      <c r="P344" t="str">
        <f t="shared" ca="1" si="150"/>
        <v>-0.0329505844956133-0.00150845637817249i</v>
      </c>
      <c r="Q344">
        <f t="shared" ca="1" si="145"/>
        <v>-29.63364534687237</v>
      </c>
      <c r="R344">
        <f t="shared" ca="1" si="151"/>
        <v>-177.37886644747076</v>
      </c>
      <c r="T344" t="str">
        <f t="shared" si="136"/>
        <v>1+1083.6i</v>
      </c>
      <c r="U344" t="str">
        <f t="shared" si="137"/>
        <v>1+63i</v>
      </c>
      <c r="V344" t="str">
        <f t="shared" si="138"/>
        <v>-0.0000692137320044297i</v>
      </c>
      <c r="W344" t="str">
        <f t="shared" si="146"/>
        <v>0.0000177933337238592-0.00119019375660756i</v>
      </c>
      <c r="X344">
        <f t="shared" si="147"/>
        <v>-58.486676101122455</v>
      </c>
      <c r="Y344">
        <f t="shared" si="148"/>
        <v>-89.143494932166448</v>
      </c>
      <c r="Z344">
        <f t="shared" si="149"/>
        <v>1002676.1414789406</v>
      </c>
      <c r="AA344">
        <f t="shared" ca="1" si="139"/>
        <v>-39.301211271137156</v>
      </c>
      <c r="AB344">
        <f t="shared" ca="1" si="140"/>
        <v>-1.1047585113694112</v>
      </c>
    </row>
    <row r="345" spans="1:28" x14ac:dyDescent="0.2">
      <c r="A345">
        <v>6400000</v>
      </c>
      <c r="B345" t="str">
        <f t="shared" si="141"/>
        <v>6400000i</v>
      </c>
      <c r="C345" t="str">
        <f t="shared" ca="1" si="127"/>
        <v>1+86.1080885933469i</v>
      </c>
      <c r="D345" t="str">
        <f t="shared" ca="1" si="128"/>
        <v>1+45.2063414966222i</v>
      </c>
      <c r="E345" t="str">
        <f t="shared" ca="1" si="129"/>
        <v>1+29252.8830756881i</v>
      </c>
      <c r="F345">
        <f t="shared" ca="1" si="130"/>
        <v>69.486139019499433</v>
      </c>
      <c r="G345" t="str">
        <f t="shared" ca="1" si="142"/>
        <v>0.311603088237981+9.24403824893637i</v>
      </c>
      <c r="H345">
        <f t="shared" ca="1" si="143"/>
        <v>19.322166615087678</v>
      </c>
      <c r="I345">
        <f t="shared" ca="1" si="144"/>
        <v>88.069373596206916</v>
      </c>
      <c r="K345" t="str">
        <f t="shared" ca="1" si="131"/>
        <v>1+86.1080885933469i</v>
      </c>
      <c r="L345" t="str">
        <f t="shared" ca="1" si="132"/>
        <v>1-23.6878839498625i</v>
      </c>
      <c r="M345" t="str">
        <f t="shared" ca="1" si="133"/>
        <v>1+27554.588349871i</v>
      </c>
      <c r="N345" t="str">
        <f t="shared" si="134"/>
        <v>1+69.3466992557466i</v>
      </c>
      <c r="O345">
        <f t="shared" ca="1" si="135"/>
        <v>30.873410267617786</v>
      </c>
      <c r="P345" t="str">
        <f t="shared" ca="1" si="150"/>
        <v>-0.0329507537939472-0.00148488916987573i</v>
      </c>
      <c r="Q345">
        <f t="shared" ca="1" si="145"/>
        <v>-29.633882406729629</v>
      </c>
      <c r="R345">
        <f t="shared" ca="1" si="151"/>
        <v>-177.41977490642498</v>
      </c>
      <c r="T345" t="str">
        <f t="shared" si="136"/>
        <v>1+1100.8i</v>
      </c>
      <c r="U345" t="str">
        <f t="shared" si="137"/>
        <v>1+64i</v>
      </c>
      <c r="V345" t="str">
        <f t="shared" si="138"/>
        <v>-0.0000681322674418605i</v>
      </c>
      <c r="W345" t="str">
        <f t="shared" si="146"/>
        <v>0.0000172417707795267-0.00117160559733157i</v>
      </c>
      <c r="X345">
        <f t="shared" si="147"/>
        <v>-58.623430787703285</v>
      </c>
      <c r="Y345">
        <f t="shared" si="148"/>
        <v>-89.156875493778813</v>
      </c>
      <c r="Z345">
        <f t="shared" si="149"/>
        <v>1018591.6357881302</v>
      </c>
      <c r="AA345">
        <f t="shared" ca="1" si="139"/>
        <v>-39.301264172615603</v>
      </c>
      <c r="AB345">
        <f t="shared" ca="1" si="140"/>
        <v>-1.0875018975718973</v>
      </c>
    </row>
    <row r="346" spans="1:28" x14ac:dyDescent="0.2">
      <c r="A346">
        <v>6500000</v>
      </c>
      <c r="B346" t="str">
        <f t="shared" si="141"/>
        <v>6500000i</v>
      </c>
      <c r="C346" t="str">
        <f t="shared" ca="1" si="127"/>
        <v>1+87.4535274776179i</v>
      </c>
      <c r="D346" t="str">
        <f t="shared" ca="1" si="128"/>
        <v>1+45.9126905825069i</v>
      </c>
      <c r="E346" t="str">
        <f t="shared" ca="1" si="129"/>
        <v>1+29709.9593737458i</v>
      </c>
      <c r="F346">
        <f t="shared" ca="1" si="130"/>
        <v>69.486139019499433</v>
      </c>
      <c r="G346" t="str">
        <f t="shared" ca="1" si="142"/>
        <v>0.311603085769829+9.3885496752713i</v>
      </c>
      <c r="H346">
        <f t="shared" ca="1" si="143"/>
        <v>19.456751532624764</v>
      </c>
      <c r="I346">
        <f t="shared" ca="1" si="144"/>
        <v>88.099068430444746</v>
      </c>
      <c r="K346" t="str">
        <f t="shared" ca="1" si="131"/>
        <v>1+87.4535274776179i</v>
      </c>
      <c r="L346" t="str">
        <f t="shared" ca="1" si="132"/>
        <v>1-24.0580071365791i</v>
      </c>
      <c r="M346" t="str">
        <f t="shared" ca="1" si="133"/>
        <v>1+27985.1287928377i</v>
      </c>
      <c r="N346" t="str">
        <f t="shared" si="134"/>
        <v>1+70.4302414316176i</v>
      </c>
      <c r="O346">
        <f t="shared" ca="1" si="135"/>
        <v>30.873410267617786</v>
      </c>
      <c r="P346" t="str">
        <f t="shared" ca="1" si="150"/>
        <v>-0.0329509153408592-0.00146204699723565i</v>
      </c>
      <c r="Q346">
        <f t="shared" ca="1" si="145"/>
        <v>-29.634108622763851</v>
      </c>
      <c r="R346">
        <f t="shared" ca="1" si="151"/>
        <v>-177.45942674891734</v>
      </c>
      <c r="T346" t="str">
        <f t="shared" si="136"/>
        <v>1+1118i</v>
      </c>
      <c r="U346" t="str">
        <f t="shared" si="137"/>
        <v>1+65i</v>
      </c>
      <c r="V346" t="str">
        <f t="shared" si="138"/>
        <v>-0.0000670840787119857i</v>
      </c>
      <c r="W346" t="str">
        <f t="shared" si="146"/>
        <v>0.0000167154602185804-0.00115358899291971i</v>
      </c>
      <c r="X346">
        <f t="shared" si="147"/>
        <v>-58.758066184763251</v>
      </c>
      <c r="Y346">
        <f t="shared" si="148"/>
        <v>-89.169844450853716</v>
      </c>
      <c r="Z346">
        <f t="shared" si="149"/>
        <v>1034507.1300973197</v>
      </c>
      <c r="AA346">
        <f t="shared" ca="1" si="139"/>
        <v>-39.301314652138487</v>
      </c>
      <c r="AB346">
        <f t="shared" ca="1" si="140"/>
        <v>-1.0707760204089709</v>
      </c>
    </row>
    <row r="347" spans="1:28" x14ac:dyDescent="0.2">
      <c r="A347">
        <v>6600000</v>
      </c>
      <c r="B347" t="str">
        <f t="shared" si="141"/>
        <v>6600000i</v>
      </c>
      <c r="C347" t="str">
        <f t="shared" ca="1" si="127"/>
        <v>1+88.798966361889i</v>
      </c>
      <c r="D347" t="str">
        <f t="shared" ca="1" si="128"/>
        <v>1+46.6190396683916i</v>
      </c>
      <c r="E347" t="str">
        <f t="shared" ca="1" si="129"/>
        <v>1+30167.0356718034i</v>
      </c>
      <c r="F347">
        <f t="shared" ca="1" si="130"/>
        <v>69.486139019499433</v>
      </c>
      <c r="G347" t="str">
        <f t="shared" ca="1" si="142"/>
        <v>0.311603083413014+9.53305999917819i</v>
      </c>
      <c r="H347">
        <f t="shared" ca="1" si="143"/>
        <v>19.589284106137303</v>
      </c>
      <c r="I347">
        <f t="shared" ca="1" si="144"/>
        <v>88.127863737001434</v>
      </c>
      <c r="K347" t="str">
        <f t="shared" ca="1" si="131"/>
        <v>1+88.798966361889i</v>
      </c>
      <c r="L347" t="str">
        <f t="shared" ca="1" si="132"/>
        <v>1-24.4281303232957i</v>
      </c>
      <c r="M347" t="str">
        <f t="shared" ca="1" si="133"/>
        <v>1+28415.6692358045i</v>
      </c>
      <c r="N347" t="str">
        <f t="shared" si="134"/>
        <v>1+71.5137836074886i</v>
      </c>
      <c r="O347">
        <f t="shared" ca="1" si="135"/>
        <v>30.873410267617786</v>
      </c>
      <c r="P347" t="str">
        <f t="shared" ca="1" si="150"/>
        <v>-0.0329510696024023-0.00143989691055299i</v>
      </c>
      <c r="Q347">
        <f t="shared" ca="1" si="145"/>
        <v>-29.634324646216324</v>
      </c>
      <c r="R347">
        <f t="shared" ca="1" si="151"/>
        <v>-177.49787896937968</v>
      </c>
      <c r="T347" t="str">
        <f t="shared" si="136"/>
        <v>1+1135.2i</v>
      </c>
      <c r="U347" t="str">
        <f t="shared" si="137"/>
        <v>1+66i</v>
      </c>
      <c r="V347" t="str">
        <f t="shared" si="138"/>
        <v>-0.0000660676532769556i</v>
      </c>
      <c r="W347" t="str">
        <f t="shared" si="146"/>
        <v>0.0000162128838383569-0.00113611798660851i</v>
      </c>
      <c r="X347">
        <f t="shared" si="147"/>
        <v>-58.890646961449995</v>
      </c>
      <c r="Y347">
        <f t="shared" si="148"/>
        <v>-89.182420506467295</v>
      </c>
      <c r="Z347">
        <f t="shared" si="149"/>
        <v>1050422.6244065093</v>
      </c>
      <c r="AA347">
        <f t="shared" ca="1" si="139"/>
        <v>-39.301362855312689</v>
      </c>
      <c r="AB347">
        <f t="shared" ca="1" si="140"/>
        <v>-1.0545567694658615</v>
      </c>
    </row>
    <row r="348" spans="1:28" x14ac:dyDescent="0.2">
      <c r="A348">
        <v>6700000</v>
      </c>
      <c r="B348" t="str">
        <f t="shared" si="141"/>
        <v>6700000i</v>
      </c>
      <c r="C348" t="str">
        <f t="shared" ca="1" si="127"/>
        <v>1+90.14440524616i</v>
      </c>
      <c r="D348" t="str">
        <f t="shared" ca="1" si="128"/>
        <v>1+47.3253887542763i</v>
      </c>
      <c r="E348" t="str">
        <f t="shared" ca="1" si="129"/>
        <v>1+30624.111969861i</v>
      </c>
      <c r="F348">
        <f t="shared" ca="1" si="130"/>
        <v>69.486139019499433</v>
      </c>
      <c r="G348" t="str">
        <f t="shared" ca="1" si="142"/>
        <v>0.311603081160938+9.6775692700194i</v>
      </c>
      <c r="H348">
        <f t="shared" ca="1" si="143"/>
        <v>19.719825955007824</v>
      </c>
      <c r="I348">
        <f t="shared" ca="1" si="144"/>
        <v>88.155799774811527</v>
      </c>
      <c r="K348" t="str">
        <f t="shared" ca="1" si="131"/>
        <v>1+90.14440524616i</v>
      </c>
      <c r="L348" t="str">
        <f t="shared" ca="1" si="132"/>
        <v>1-24.7982535100123i</v>
      </c>
      <c r="M348" t="str">
        <f t="shared" ca="1" si="133"/>
        <v>1+28846.2096787712i</v>
      </c>
      <c r="N348" t="str">
        <f t="shared" si="134"/>
        <v>1+72.5973257833597i</v>
      </c>
      <c r="O348">
        <f t="shared" ca="1" si="135"/>
        <v>30.873410267617786</v>
      </c>
      <c r="P348" t="str">
        <f t="shared" ca="1" si="150"/>
        <v>-0.0329512170101234-0.00141840792680307i</v>
      </c>
      <c r="Q348">
        <f t="shared" ca="1" si="145"/>
        <v>-29.634531080176867</v>
      </c>
      <c r="R348">
        <f t="shared" ca="1" si="151"/>
        <v>-177.53518516865668</v>
      </c>
      <c r="T348" t="str">
        <f t="shared" si="136"/>
        <v>1+1152.4i</v>
      </c>
      <c r="U348" t="str">
        <f t="shared" si="137"/>
        <v>1+67i</v>
      </c>
      <c r="V348" t="str">
        <f t="shared" si="138"/>
        <v>-0.0000650815688996876i</v>
      </c>
      <c r="W348" t="str">
        <f t="shared" si="146"/>
        <v>0.0000157326358315637-0.00111916816961445i</v>
      </c>
      <c r="X348">
        <f t="shared" si="147"/>
        <v>-59.021234871974151</v>
      </c>
      <c r="Y348">
        <f t="shared" si="148"/>
        <v>-89.194621247547829</v>
      </c>
      <c r="Z348">
        <f t="shared" si="149"/>
        <v>1066338.1187156988</v>
      </c>
      <c r="AA348">
        <f t="shared" ca="1" si="139"/>
        <v>-39.301408916966324</v>
      </c>
      <c r="AB348">
        <f t="shared" ca="1" si="140"/>
        <v>-1.0388214727363021</v>
      </c>
    </row>
    <row r="349" spans="1:28" x14ac:dyDescent="0.2">
      <c r="A349">
        <v>6800000</v>
      </c>
      <c r="B349" t="str">
        <f t="shared" si="141"/>
        <v>6800000i</v>
      </c>
      <c r="C349" t="str">
        <f t="shared" ca="1" si="127"/>
        <v>1+91.4898441304311i</v>
      </c>
      <c r="D349" t="str">
        <f t="shared" ca="1" si="128"/>
        <v>1+48.0317378401611i</v>
      </c>
      <c r="E349" t="str">
        <f t="shared" ca="1" si="129"/>
        <v>1+31081.1882679186i</v>
      </c>
      <c r="F349">
        <f t="shared" ca="1" si="130"/>
        <v>69.486139019499433</v>
      </c>
      <c r="G349" t="str">
        <f t="shared" ca="1" si="142"/>
        <v>0.311603079007486+9.82207753425377i</v>
      </c>
      <c r="H349">
        <f t="shared" ca="1" si="143"/>
        <v>19.848435966075847</v>
      </c>
      <c r="I349">
        <f t="shared" ca="1" si="144"/>
        <v>88.182914435961251</v>
      </c>
      <c r="K349" t="str">
        <f t="shared" ca="1" si="131"/>
        <v>1+91.4898441304311i</v>
      </c>
      <c r="L349" t="str">
        <f t="shared" ca="1" si="132"/>
        <v>1-25.1683766967289i</v>
      </c>
      <c r="M349" t="str">
        <f t="shared" ca="1" si="133"/>
        <v>1+29276.7501217379i</v>
      </c>
      <c r="N349" t="str">
        <f t="shared" si="134"/>
        <v>1+73.6808679592307i</v>
      </c>
      <c r="O349">
        <f t="shared" ca="1" si="135"/>
        <v>30.873410267617786</v>
      </c>
      <c r="P349" t="str">
        <f t="shared" ca="1" si="150"/>
        <v>-0.032951357964086-0.00139755088506806i</v>
      </c>
      <c r="Q349">
        <f t="shared" ca="1" si="145"/>
        <v>-29.634728483792131</v>
      </c>
      <c r="R349">
        <f t="shared" ca="1" si="151"/>
        <v>-177.57139580275407</v>
      </c>
      <c r="T349" t="str">
        <f t="shared" si="136"/>
        <v>1+1169.6i</v>
      </c>
      <c r="U349" t="str">
        <f t="shared" si="137"/>
        <v>1+68i</v>
      </c>
      <c r="V349" t="str">
        <f t="shared" si="138"/>
        <v>-0.000064124487004104i</v>
      </c>
      <c r="W349" t="str">
        <f t="shared" si="146"/>
        <v>0.0000152734129478316-0.00110271656745665i</v>
      </c>
      <c r="X349">
        <f t="shared" si="147"/>
        <v>-59.149888928167222</v>
      </c>
      <c r="Y349">
        <f t="shared" si="148"/>
        <v>-89.20646322690645</v>
      </c>
      <c r="Z349">
        <f t="shared" si="149"/>
        <v>1082253.6130248883</v>
      </c>
      <c r="AA349">
        <f t="shared" ca="1" si="139"/>
        <v>-39.301452962091375</v>
      </c>
      <c r="AB349">
        <f t="shared" ca="1" si="140"/>
        <v>-1.023548790945199</v>
      </c>
    </row>
    <row r="350" spans="1:28" x14ac:dyDescent="0.2">
      <c r="A350">
        <v>6900000</v>
      </c>
      <c r="B350" t="str">
        <f t="shared" si="141"/>
        <v>6900000i</v>
      </c>
      <c r="C350" t="str">
        <f t="shared" ca="1" si="127"/>
        <v>1+92.8352830147021i</v>
      </c>
      <c r="D350" t="str">
        <f t="shared" ca="1" si="128"/>
        <v>1+48.7380869260458i</v>
      </c>
      <c r="E350" t="str">
        <f t="shared" ca="1" si="129"/>
        <v>1+31538.2645659763i</v>
      </c>
      <c r="F350">
        <f t="shared" ca="1" si="130"/>
        <v>69.486139019499433</v>
      </c>
      <c r="G350" t="str">
        <f t="shared" ca="1" si="142"/>
        <v>0.311603076946982+9.96658483564667i</v>
      </c>
      <c r="H350">
        <f t="shared" ca="1" si="143"/>
        <v>19.975170452767102</v>
      </c>
      <c r="I350">
        <f t="shared" ca="1" si="144"/>
        <v>88.209243417086611</v>
      </c>
      <c r="K350" t="str">
        <f t="shared" ca="1" si="131"/>
        <v>1+92.8352830147021i</v>
      </c>
      <c r="L350" t="str">
        <f t="shared" ca="1" si="132"/>
        <v>1-25.5384998834455i</v>
      </c>
      <c r="M350" t="str">
        <f t="shared" ca="1" si="133"/>
        <v>1+29707.2905647047i</v>
      </c>
      <c r="N350" t="str">
        <f t="shared" si="134"/>
        <v>1+74.7644101351018i</v>
      </c>
      <c r="O350">
        <f t="shared" ca="1" si="135"/>
        <v>30.873410267617786</v>
      </c>
      <c r="P350" t="str">
        <f t="shared" ca="1" si="150"/>
        <v>-0.0329514928355842-0.00137729831453627i</v>
      </c>
      <c r="Q350">
        <f t="shared" ca="1" si="145"/>
        <v>-29.634917376052194</v>
      </c>
      <c r="R350">
        <f t="shared" ca="1" si="151"/>
        <v>-177.60655841003322</v>
      </c>
      <c r="T350" t="str">
        <f t="shared" si="136"/>
        <v>1+1186.8i</v>
      </c>
      <c r="U350" t="str">
        <f t="shared" si="137"/>
        <v>1+69i</v>
      </c>
      <c r="V350" t="str">
        <f t="shared" si="138"/>
        <v>-0.0000631951466127401i</v>
      </c>
      <c r="W350" t="str">
        <f t="shared" si="146"/>
        <v>0.0000148340056454685-0.00108674153615007i</v>
      </c>
      <c r="X350">
        <f t="shared" si="147"/>
        <v>-59.276665559460149</v>
      </c>
      <c r="Y350">
        <f t="shared" si="148"/>
        <v>-89.217962038138282</v>
      </c>
      <c r="Z350">
        <f t="shared" si="149"/>
        <v>1098169.1073340778</v>
      </c>
      <c r="AA350">
        <f t="shared" ca="1" si="139"/>
        <v>-39.301495106693046</v>
      </c>
      <c r="AB350">
        <f t="shared" ca="1" si="140"/>
        <v>-1.0087186210516705</v>
      </c>
    </row>
    <row r="351" spans="1:28" x14ac:dyDescent="0.2">
      <c r="A351">
        <v>7000000</v>
      </c>
      <c r="B351" t="str">
        <f t="shared" si="141"/>
        <v>7000000i</v>
      </c>
      <c r="C351" t="str">
        <f t="shared" ca="1" si="127"/>
        <v>1+94.1807218989731i</v>
      </c>
      <c r="D351" t="str">
        <f t="shared" ca="1" si="128"/>
        <v>1+49.4444360119305i</v>
      </c>
      <c r="E351" t="str">
        <f t="shared" ca="1" si="129"/>
        <v>1+31995.3408640339i</v>
      </c>
      <c r="F351">
        <f t="shared" ca="1" si="130"/>
        <v>69.486139019499433</v>
      </c>
      <c r="G351" t="str">
        <f t="shared" ca="1" si="142"/>
        <v>0.311603074974153+10.1110912154629i</v>
      </c>
      <c r="H351">
        <f t="shared" ca="1" si="143"/>
        <v>20.100083302812099</v>
      </c>
      <c r="I351">
        <f t="shared" ca="1" si="144"/>
        <v>88.234820376091335</v>
      </c>
      <c r="K351" t="str">
        <f t="shared" ca="1" si="131"/>
        <v>1+94.1807218989731i</v>
      </c>
      <c r="L351" t="str">
        <f t="shared" ca="1" si="132"/>
        <v>1-25.9086230701621i</v>
      </c>
      <c r="M351" t="str">
        <f t="shared" ca="1" si="133"/>
        <v>1+30137.8310076714i</v>
      </c>
      <c r="N351" t="str">
        <f t="shared" si="134"/>
        <v>1+75.8479523109728i</v>
      </c>
      <c r="O351">
        <f t="shared" ca="1" si="135"/>
        <v>30.873410267617786</v>
      </c>
      <c r="P351" t="str">
        <f t="shared" ca="1" si="150"/>
        <v>-0.0329516219695923-0.00135762431381233i</v>
      </c>
      <c r="Q351">
        <f t="shared" ca="1" si="145"/>
        <v>-29.635098239200786</v>
      </c>
      <c r="R351">
        <f t="shared" ca="1" si="151"/>
        <v>-177.640717819</v>
      </c>
      <c r="T351" t="str">
        <f t="shared" si="136"/>
        <v>1+1204i</v>
      </c>
      <c r="U351" t="str">
        <f t="shared" si="137"/>
        <v>1+70i</v>
      </c>
      <c r="V351" t="str">
        <f t="shared" si="138"/>
        <v>-0.0000622923588039867i</v>
      </c>
      <c r="W351" t="str">
        <f t="shared" si="146"/>
        <v>0.0000144132901211428-0.00107122266728398i</v>
      </c>
      <c r="X351">
        <f t="shared" si="147"/>
        <v>-59.401618761365583</v>
      </c>
      <c r="Y351">
        <f t="shared" si="148"/>
        <v>-89.229132384107189</v>
      </c>
      <c r="Z351">
        <f t="shared" si="149"/>
        <v>1114084.6016432673</v>
      </c>
      <c r="AA351">
        <f t="shared" ca="1" si="139"/>
        <v>-39.301535458553488</v>
      </c>
      <c r="AB351">
        <f t="shared" ca="1" si="140"/>
        <v>-0.99431200801585362</v>
      </c>
    </row>
    <row r="352" spans="1:28" x14ac:dyDescent="0.2">
      <c r="A352">
        <v>7100000</v>
      </c>
      <c r="B352" t="str">
        <f t="shared" si="141"/>
        <v>7100000i</v>
      </c>
      <c r="C352" t="str">
        <f t="shared" ca="1" si="127"/>
        <v>1+95.5261607832442i</v>
      </c>
      <c r="D352" t="str">
        <f t="shared" ca="1" si="128"/>
        <v>1+50.1507850978152i</v>
      </c>
      <c r="E352" t="str">
        <f t="shared" ca="1" si="129"/>
        <v>1+32452.4171620915i</v>
      </c>
      <c r="F352">
        <f t="shared" ca="1" si="130"/>
        <v>69.486139019499433</v>
      </c>
      <c r="G352" t="str">
        <f t="shared" ca="1" si="142"/>
        <v>0.311603073084096+10.2555967126423i</v>
      </c>
      <c r="H352">
        <f t="shared" ca="1" si="143"/>
        <v>20.223226115519964</v>
      </c>
      <c r="I352">
        <f t="shared" ca="1" si="144"/>
        <v>88.259677075630663</v>
      </c>
      <c r="K352" t="str">
        <f t="shared" ca="1" si="131"/>
        <v>1+95.5261607832442i</v>
      </c>
      <c r="L352" t="str">
        <f t="shared" ca="1" si="132"/>
        <v>1-26.2787462568787i</v>
      </c>
      <c r="M352" t="str">
        <f t="shared" ca="1" si="133"/>
        <v>1+30568.3714506381i</v>
      </c>
      <c r="N352" t="str">
        <f t="shared" si="134"/>
        <v>1+76.9314944868438i</v>
      </c>
      <c r="O352">
        <f t="shared" ca="1" si="135"/>
        <v>30.873410267617786</v>
      </c>
      <c r="P352" t="str">
        <f t="shared" ca="1" si="150"/>
        <v>-0.032951745686971-0.00133850444042338i</v>
      </c>
      <c r="Q352">
        <f t="shared" ca="1" si="145"/>
        <v>-29.635271521813301</v>
      </c>
      <c r="R352">
        <f t="shared" ca="1" si="151"/>
        <v>-177.67391633859299</v>
      </c>
      <c r="T352" t="str">
        <f t="shared" si="136"/>
        <v>1+1221.2i</v>
      </c>
      <c r="U352" t="str">
        <f t="shared" si="137"/>
        <v>1+71i</v>
      </c>
      <c r="V352" t="str">
        <f t="shared" si="138"/>
        <v>-0.0000614150016377334i</v>
      </c>
      <c r="W352" t="str">
        <f t="shared" si="146"/>
        <v>0.0000140102211193417-0.001056140701111i</v>
      </c>
      <c r="X352">
        <f t="shared" si="147"/>
        <v>-59.524800233441454</v>
      </c>
      <c r="Y352">
        <f t="shared" si="148"/>
        <v>-89.239988139645973</v>
      </c>
      <c r="Z352">
        <f t="shared" si="149"/>
        <v>1130000.0959524568</v>
      </c>
      <c r="AA352">
        <f t="shared" ca="1" si="139"/>
        <v>-39.30157411792149</v>
      </c>
      <c r="AB352">
        <f t="shared" ca="1" si="140"/>
        <v>-0.98031106401531076</v>
      </c>
    </row>
    <row r="353" spans="1:28" x14ac:dyDescent="0.2">
      <c r="A353">
        <v>7200000</v>
      </c>
      <c r="B353" t="str">
        <f t="shared" si="141"/>
        <v>7200000i</v>
      </c>
      <c r="C353" t="str">
        <f t="shared" ca="1" si="127"/>
        <v>1+96.8715996675152i</v>
      </c>
      <c r="D353" t="str">
        <f t="shared" ca="1" si="128"/>
        <v>1+50.8571341836999i</v>
      </c>
      <c r="E353" t="str">
        <f t="shared" ca="1" si="129"/>
        <v>1+32909.4934601492i</v>
      </c>
      <c r="F353">
        <f t="shared" ca="1" si="130"/>
        <v>69.486139019499433</v>
      </c>
      <c r="G353" t="str">
        <f t="shared" ca="1" si="142"/>
        <v>0.311603071272242+10.4001013639612i</v>
      </c>
      <c r="H353">
        <f t="shared" ca="1" si="143"/>
        <v>20.344648329482169</v>
      </c>
      <c r="I353">
        <f t="shared" ca="1" si="144"/>
        <v>88.283843514646492</v>
      </c>
      <c r="K353" t="str">
        <f t="shared" ca="1" si="131"/>
        <v>1+96.8715996675152i</v>
      </c>
      <c r="L353" t="str">
        <f t="shared" ca="1" si="132"/>
        <v>1-26.6488694435953i</v>
      </c>
      <c r="M353" t="str">
        <f t="shared" ca="1" si="133"/>
        <v>1+30998.9118936049i</v>
      </c>
      <c r="N353" t="str">
        <f t="shared" si="134"/>
        <v>1+78.0150366627149i</v>
      </c>
      <c r="O353">
        <f t="shared" ca="1" si="135"/>
        <v>30.873410267617786</v>
      </c>
      <c r="P353" t="str">
        <f t="shared" ca="1" si="150"/>
        <v>-0.0329518642864616-0.00131991560953035i</v>
      </c>
      <c r="Q353">
        <f t="shared" ca="1" si="145"/>
        <v>-29.6354376415781</v>
      </c>
      <c r="R353">
        <f t="shared" ca="1" si="151"/>
        <v>-177.70619393266611</v>
      </c>
      <c r="T353" t="str">
        <f t="shared" si="136"/>
        <v>1+1238.4i</v>
      </c>
      <c r="U353" t="str">
        <f t="shared" si="137"/>
        <v>1+72i</v>
      </c>
      <c r="V353" t="str">
        <f t="shared" si="138"/>
        <v>-0.000060562015503876i</v>
      </c>
      <c r="W353" t="str">
        <f t="shared" si="146"/>
        <v>0.000013623825435626-0.00104147744686895i</v>
      </c>
      <c r="X353">
        <f t="shared" si="147"/>
        <v>-59.646259507618502</v>
      </c>
      <c r="Y353">
        <f t="shared" si="148"/>
        <v>-89.250542409033926</v>
      </c>
      <c r="Z353">
        <f t="shared" si="149"/>
        <v>1145915.5902616465</v>
      </c>
      <c r="AA353">
        <f t="shared" ca="1" si="139"/>
        <v>-39.301611178136334</v>
      </c>
      <c r="AB353">
        <f t="shared" ca="1" si="140"/>
        <v>-0.96669889438743439</v>
      </c>
    </row>
    <row r="354" spans="1:28" x14ac:dyDescent="0.2">
      <c r="A354">
        <v>7300000</v>
      </c>
      <c r="B354" t="str">
        <f t="shared" si="141"/>
        <v>7300000i</v>
      </c>
      <c r="C354" t="str">
        <f t="shared" ca="1" si="127"/>
        <v>1+98.2170385517863i</v>
      </c>
      <c r="D354" t="str">
        <f t="shared" ca="1" si="128"/>
        <v>1+51.5634832695847i</v>
      </c>
      <c r="E354" t="str">
        <f t="shared" ca="1" si="129"/>
        <v>1+33366.5697582068i</v>
      </c>
      <c r="F354">
        <f t="shared" ca="1" si="130"/>
        <v>69.486139019499433</v>
      </c>
      <c r="G354" t="str">
        <f t="shared" ca="1" si="142"/>
        <v>0.311603069534337+10.5446052041813i</v>
      </c>
      <c r="H354">
        <f t="shared" ca="1" si="143"/>
        <v>20.464397341495619</v>
      </c>
      <c r="I354">
        <f t="shared" ca="1" si="144"/>
        <v>88.307348049099147</v>
      </c>
      <c r="K354" t="str">
        <f t="shared" ca="1" si="131"/>
        <v>1+98.2170385517863i</v>
      </c>
      <c r="L354" t="str">
        <f t="shared" ca="1" si="132"/>
        <v>1-27.0189926303119i</v>
      </c>
      <c r="M354" t="str">
        <f t="shared" ca="1" si="133"/>
        <v>1+31429.4523365716i</v>
      </c>
      <c r="N354" t="str">
        <f t="shared" si="134"/>
        <v>1+79.0985788385859i</v>
      </c>
      <c r="O354">
        <f t="shared" ca="1" si="135"/>
        <v>30.873410267617786</v>
      </c>
      <c r="P354" t="str">
        <f t="shared" ca="1" si="150"/>
        <v>-0.0329519780464925-0.00130183600096207i</v>
      </c>
      <c r="Q354">
        <f t="shared" ca="1" si="145"/>
        <v>-29.635596987812832</v>
      </c>
      <c r="R354">
        <f t="shared" ca="1" si="151"/>
        <v>-177.73758838017613</v>
      </c>
      <c r="T354" t="str">
        <f t="shared" si="136"/>
        <v>1+1255.6i</v>
      </c>
      <c r="U354" t="str">
        <f t="shared" si="137"/>
        <v>1+73i</v>
      </c>
      <c r="V354" t="str">
        <f t="shared" si="138"/>
        <v>-0.0000597323988531379i</v>
      </c>
      <c r="W354" t="str">
        <f t="shared" si="146"/>
        <v>0.0000132531960382215-0.00102721570964331i</v>
      </c>
      <c r="X354">
        <f t="shared" si="147"/>
        <v>-59.766044067685741</v>
      </c>
      <c r="Y354">
        <f t="shared" si="148"/>
        <v>-89.260807578752932</v>
      </c>
      <c r="Z354">
        <f t="shared" si="149"/>
        <v>1161831.084570836</v>
      </c>
      <c r="AA354">
        <f t="shared" ca="1" si="139"/>
        <v>-39.301646726190121</v>
      </c>
      <c r="AB354">
        <f t="shared" ca="1" si="140"/>
        <v>-0.95345952965378444</v>
      </c>
    </row>
    <row r="355" spans="1:28" x14ac:dyDescent="0.2">
      <c r="A355">
        <v>7400000</v>
      </c>
      <c r="B355" t="str">
        <f t="shared" si="141"/>
        <v>7400000i</v>
      </c>
      <c r="C355" t="str">
        <f t="shared" ca="1" si="127"/>
        <v>1+99.5624774360573i</v>
      </c>
      <c r="D355" t="str">
        <f t="shared" ca="1" si="128"/>
        <v>1+52.2698323554694i</v>
      </c>
      <c r="E355" t="str">
        <f t="shared" ca="1" si="129"/>
        <v>1+33823.6460562644i</v>
      </c>
      <c r="F355">
        <f t="shared" ca="1" si="130"/>
        <v>69.486139019499433</v>
      </c>
      <c r="G355" t="str">
        <f t="shared" ca="1" si="142"/>
        <v>0.311603067866408+10.6891082661848i</v>
      </c>
      <c r="H355">
        <f t="shared" ca="1" si="143"/>
        <v>20.58251861741747</v>
      </c>
      <c r="I355">
        <f t="shared" ca="1" si="144"/>
        <v>88.330217502916284</v>
      </c>
      <c r="K355" t="str">
        <f t="shared" ca="1" si="131"/>
        <v>1+99.5624774360573i</v>
      </c>
      <c r="L355" t="str">
        <f t="shared" ca="1" si="132"/>
        <v>1-27.3891158170285i</v>
      </c>
      <c r="M355" t="str">
        <f t="shared" ca="1" si="133"/>
        <v>1+31859.9927795383i</v>
      </c>
      <c r="N355" t="str">
        <f t="shared" si="134"/>
        <v>1+80.182121014457i</v>
      </c>
      <c r="O355">
        <f t="shared" ca="1" si="135"/>
        <v>30.873410267617786</v>
      </c>
      <c r="P355" t="str">
        <f t="shared" ca="1" si="150"/>
        <v>-0.0329520872268124-0.00128424497378485i</v>
      </c>
      <c r="Q355">
        <f t="shared" ca="1" si="145"/>
        <v>-29.635749923745855</v>
      </c>
      <c r="R355">
        <f t="shared" ca="1" si="151"/>
        <v>-177.76813542242203</v>
      </c>
      <c r="T355" t="str">
        <f t="shared" si="136"/>
        <v>1+1272.8i</v>
      </c>
      <c r="U355" t="str">
        <f t="shared" si="137"/>
        <v>1+74i</v>
      </c>
      <c r="V355" t="str">
        <f t="shared" si="138"/>
        <v>-0.0000589252042740415i</v>
      </c>
      <c r="W355" t="str">
        <f t="shared" si="146"/>
        <v>0.0000128974867415959-0.00101333922315214i</v>
      </c>
      <c r="X355">
        <f t="shared" si="147"/>
        <v>-59.884199460657371</v>
      </c>
      <c r="Y355">
        <f t="shared" si="148"/>
        <v>-89.270795365967587</v>
      </c>
      <c r="Z355">
        <f t="shared" si="149"/>
        <v>1177746.5788800255</v>
      </c>
      <c r="AA355">
        <f t="shared" ca="1" si="139"/>
        <v>-39.3016808432399</v>
      </c>
      <c r="AB355">
        <f t="shared" ca="1" si="140"/>
        <v>-0.94057786305130264</v>
      </c>
    </row>
    <row r="356" spans="1:28" x14ac:dyDescent="0.2">
      <c r="A356">
        <v>7500000</v>
      </c>
      <c r="B356" t="str">
        <f t="shared" si="141"/>
        <v>7500000i</v>
      </c>
      <c r="C356" t="str">
        <f t="shared" ca="1" si="127"/>
        <v>1+100.907916320328i</v>
      </c>
      <c r="D356" t="str">
        <f t="shared" ca="1" si="128"/>
        <v>1+52.9761814413541i</v>
      </c>
      <c r="E356" t="str">
        <f t="shared" ca="1" si="129"/>
        <v>1+34280.722354322i</v>
      </c>
      <c r="F356">
        <f t="shared" ca="1" si="130"/>
        <v>69.486139019499433</v>
      </c>
      <c r="G356" t="str">
        <f t="shared" ca="1" si="142"/>
        <v>0.311603066264753+10.8336105811004i</v>
      </c>
      <c r="H356">
        <f t="shared" ca="1" si="143"/>
        <v>20.699055795602096</v>
      </c>
      <c r="I356">
        <f t="shared" ca="1" si="144"/>
        <v>88.352477270071816</v>
      </c>
      <c r="K356" t="str">
        <f t="shared" ca="1" si="131"/>
        <v>1+100.907916320328i</v>
      </c>
      <c r="L356" t="str">
        <f t="shared" ca="1" si="132"/>
        <v>1-27.7592390037451i</v>
      </c>
      <c r="M356" t="str">
        <f t="shared" ca="1" si="133"/>
        <v>1+32290.5332225051i</v>
      </c>
      <c r="N356" t="str">
        <f t="shared" si="134"/>
        <v>1+81.265663190328i</v>
      </c>
      <c r="O356">
        <f t="shared" ca="1" si="135"/>
        <v>30.873410267617786</v>
      </c>
      <c r="P356" t="str">
        <f t="shared" ca="1" si="150"/>
        <v>-0.0329521920699749-0.00126712298770485i</v>
      </c>
      <c r="Q356">
        <f t="shared" ca="1" si="145"/>
        <v>-29.635896788585782</v>
      </c>
      <c r="R356">
        <f t="shared" ca="1" si="151"/>
        <v>-177.79786889854088</v>
      </c>
      <c r="T356" t="str">
        <f t="shared" si="136"/>
        <v>1+1290i</v>
      </c>
      <c r="U356" t="str">
        <f t="shared" si="137"/>
        <v>1+75i</v>
      </c>
      <c r="V356" t="str">
        <f t="shared" si="138"/>
        <v>-0.0000581395348837209i</v>
      </c>
      <c r="W356" t="str">
        <f t="shared" si="146"/>
        <v>0.0000125559073735729-0.000999832587901686i</v>
      </c>
      <c r="X356">
        <f t="shared" si="147"/>
        <v>-60.000769400672638</v>
      </c>
      <c r="Y356">
        <f t="shared" si="148"/>
        <v>-89.280516863129122</v>
      </c>
      <c r="Z356">
        <f t="shared" si="149"/>
        <v>1193662.073189215</v>
      </c>
      <c r="AA356">
        <f t="shared" ca="1" si="139"/>
        <v>-39.301713605070546</v>
      </c>
      <c r="AB356">
        <f t="shared" ca="1" si="140"/>
        <v>-0.92803959305730643</v>
      </c>
    </row>
    <row r="357" spans="1:28" x14ac:dyDescent="0.2">
      <c r="A357">
        <v>7600000</v>
      </c>
      <c r="B357" t="str">
        <f t="shared" si="141"/>
        <v>7600000i</v>
      </c>
      <c r="C357" t="str">
        <f t="shared" ca="1" si="127"/>
        <v>1+102.253355204599i</v>
      </c>
      <c r="D357" t="str">
        <f t="shared" ca="1" si="128"/>
        <v>1+53.6825305272388i</v>
      </c>
      <c r="E357" t="str">
        <f t="shared" ca="1" si="129"/>
        <v>1+34737.7986523797i</v>
      </c>
      <c r="F357">
        <f t="shared" ca="1" si="130"/>
        <v>69.486139019499433</v>
      </c>
      <c r="G357" t="str">
        <f t="shared" ca="1" si="142"/>
        <v>0.311603064725904+10.9781121784183i</v>
      </c>
      <c r="H357">
        <f t="shared" ca="1" si="143"/>
        <v>20.814050783505621</v>
      </c>
      <c r="I357">
        <f t="shared" ca="1" si="144"/>
        <v>88.374151408611198</v>
      </c>
      <c r="K357" t="str">
        <f t="shared" ca="1" si="131"/>
        <v>1+102.253355204599i</v>
      </c>
      <c r="L357" t="str">
        <f t="shared" ca="1" si="132"/>
        <v>1-28.1293621904617i</v>
      </c>
      <c r="M357" t="str">
        <f t="shared" ca="1" si="133"/>
        <v>1+32721.0736654718i</v>
      </c>
      <c r="N357" t="str">
        <f t="shared" si="134"/>
        <v>1+82.349205366199i</v>
      </c>
      <c r="O357">
        <f t="shared" ca="1" si="135"/>
        <v>30.873410267617786</v>
      </c>
      <c r="P357" t="str">
        <f t="shared" ca="1" si="150"/>
        <v>-0.0329522928026873-0.00125045153067382i</v>
      </c>
      <c r="Q357">
        <f t="shared" ca="1" si="145"/>
        <v>-29.636037899401998</v>
      </c>
      <c r="R357">
        <f t="shared" ca="1" si="151"/>
        <v>-177.82682087033766</v>
      </c>
      <c r="T357" t="str">
        <f t="shared" si="136"/>
        <v>1+1307.2i</v>
      </c>
      <c r="U357" t="str">
        <f t="shared" si="137"/>
        <v>1+76i</v>
      </c>
      <c r="V357" t="str">
        <f t="shared" si="138"/>
        <v>-0.000057374541003672i</v>
      </c>
      <c r="W357" t="str">
        <f t="shared" si="146"/>
        <v>0.0000122277193844073-0.000986681214218626i</v>
      </c>
      <c r="X357">
        <f t="shared" si="147"/>
        <v>-60.115795866021656</v>
      </c>
      <c r="Y357">
        <f t="shared" si="148"/>
        <v>-89.289982579059199</v>
      </c>
      <c r="Z357">
        <f t="shared" si="149"/>
        <v>1209577.5674984045</v>
      </c>
      <c r="AA357">
        <f t="shared" ca="1" si="139"/>
        <v>-39.301745082516035</v>
      </c>
      <c r="AB357">
        <f t="shared" ca="1" si="140"/>
        <v>-0.91583117044800133</v>
      </c>
    </row>
    <row r="358" spans="1:28" x14ac:dyDescent="0.2">
      <c r="A358">
        <v>7700000</v>
      </c>
      <c r="B358" t="str">
        <f t="shared" si="141"/>
        <v>7700000i</v>
      </c>
      <c r="C358" t="str">
        <f t="shared" ca="1" si="127"/>
        <v>1+103.59879408887i</v>
      </c>
      <c r="D358" t="str">
        <f t="shared" ca="1" si="128"/>
        <v>1+54.3888796131235i</v>
      </c>
      <c r="E358" t="str">
        <f t="shared" ca="1" si="129"/>
        <v>1+35194.8749504373i</v>
      </c>
      <c r="F358">
        <f t="shared" ca="1" si="130"/>
        <v>69.486139019499433</v>
      </c>
      <c r="G358" t="str">
        <f t="shared" ca="1" si="142"/>
        <v>0.311603063246617+11.1226130860971i</v>
      </c>
      <c r="H358">
        <f t="shared" ca="1" si="143"/>
        <v>20.927543847993796</v>
      </c>
      <c r="I358">
        <f t="shared" ca="1" si="144"/>
        <v>88.395262727354449</v>
      </c>
      <c r="K358" t="str">
        <f t="shared" ca="1" si="131"/>
        <v>1+103.59879408887i</v>
      </c>
      <c r="L358" t="str">
        <f t="shared" ca="1" si="132"/>
        <v>1-28.4994853771783i</v>
      </c>
      <c r="M358" t="str">
        <f t="shared" ca="1" si="133"/>
        <v>1+33151.6141084385i</v>
      </c>
      <c r="N358" t="str">
        <f t="shared" si="134"/>
        <v>1+83.4327475420701i</v>
      </c>
      <c r="O358">
        <f t="shared" ca="1" si="135"/>
        <v>30.873410267617786</v>
      </c>
      <c r="P358" t="str">
        <f t="shared" ca="1" si="150"/>
        <v>-0.0329523896370354-0.0012342130521344i</v>
      </c>
      <c r="Q358">
        <f t="shared" ca="1" si="145"/>
        <v>-29.636173552836329</v>
      </c>
      <c r="R358">
        <f t="shared" ca="1" si="151"/>
        <v>-177.85502173741639</v>
      </c>
      <c r="T358" t="str">
        <f t="shared" si="136"/>
        <v>1+1324.4i</v>
      </c>
      <c r="U358" t="str">
        <f t="shared" si="137"/>
        <v>1+77i</v>
      </c>
      <c r="V358" t="str">
        <f t="shared" si="138"/>
        <v>-0.0000566294170945334i</v>
      </c>
      <c r="W358" t="str">
        <f t="shared" si="146"/>
        <v>0.0000119122318522295-0.000973871269716205i</v>
      </c>
      <c r="X358">
        <f t="shared" si="147"/>
        <v>-60.229319189835962</v>
      </c>
      <c r="Y358">
        <f t="shared" si="148"/>
        <v>-89.299202476833969</v>
      </c>
      <c r="Z358">
        <f t="shared" si="149"/>
        <v>1225493.061807594</v>
      </c>
      <c r="AA358">
        <f t="shared" ca="1" si="139"/>
        <v>-39.301775341842166</v>
      </c>
      <c r="AB358">
        <f t="shared" ca="1" si="140"/>
        <v>-0.90393974947951961</v>
      </c>
    </row>
    <row r="359" spans="1:28" x14ac:dyDescent="0.2">
      <c r="A359">
        <v>7800000</v>
      </c>
      <c r="B359" t="str">
        <f t="shared" si="141"/>
        <v>7800000i</v>
      </c>
      <c r="C359" t="str">
        <f t="shared" ca="1" si="127"/>
        <v>1+104.944232973141i</v>
      </c>
      <c r="D359" t="str">
        <f t="shared" ca="1" si="128"/>
        <v>1+55.0952286990083i</v>
      </c>
      <c r="E359" t="str">
        <f t="shared" ca="1" si="129"/>
        <v>1+35651.9512484949i</v>
      </c>
      <c r="F359">
        <f t="shared" ca="1" si="130"/>
        <v>69.486139019499433</v>
      </c>
      <c r="G359" t="str">
        <f t="shared" ca="1" si="142"/>
        <v>0.311603061823864+11.2671133306612i</v>
      </c>
      <c r="H359">
        <f t="shared" ca="1" si="143"/>
        <v>21.039573699837412</v>
      </c>
      <c r="I359">
        <f t="shared" ca="1" si="144"/>
        <v>88.415832865933695</v>
      </c>
      <c r="K359" t="str">
        <f t="shared" ca="1" si="131"/>
        <v>1+104.944232973141i</v>
      </c>
      <c r="L359" t="str">
        <f t="shared" ca="1" si="132"/>
        <v>1-28.8696085638949i</v>
      </c>
      <c r="M359" t="str">
        <f t="shared" ca="1" si="133"/>
        <v>1+33582.1545514053i</v>
      </c>
      <c r="N359" t="str">
        <f t="shared" si="134"/>
        <v>1+84.5162897179411i</v>
      </c>
      <c r="O359">
        <f t="shared" ca="1" si="135"/>
        <v>30.873410267617786</v>
      </c>
      <c r="P359" t="str">
        <f t="shared" ca="1" si="150"/>
        <v>-0.0329524827716018-0.00121839090139933i</v>
      </c>
      <c r="Q359">
        <f t="shared" ca="1" si="145"/>
        <v>-29.636304026661545</v>
      </c>
      <c r="R359">
        <f t="shared" ca="1" si="151"/>
        <v>-177.88250034347917</v>
      </c>
      <c r="T359" t="str">
        <f t="shared" si="136"/>
        <v>1+1341.6i</v>
      </c>
      <c r="U359" t="str">
        <f t="shared" si="137"/>
        <v>1+78i</v>
      </c>
      <c r="V359" t="str">
        <f t="shared" si="138"/>
        <v>-0.0000559033989266547i</v>
      </c>
      <c r="W359" t="str">
        <f t="shared" si="146"/>
        <v>0.0000116087978444899-0.000961389630796864i</v>
      </c>
      <c r="X359">
        <f t="shared" si="147"/>
        <v>-60.341378144933692</v>
      </c>
      <c r="Y359">
        <f t="shared" si="148"/>
        <v>-89.308186008755101</v>
      </c>
      <c r="Z359">
        <f t="shared" si="149"/>
        <v>1241408.5561167838</v>
      </c>
      <c r="AA359">
        <f t="shared" ca="1" si="139"/>
        <v>-39.30180444509628</v>
      </c>
      <c r="AB359">
        <f t="shared" ca="1" si="140"/>
        <v>-0.89235314282140621</v>
      </c>
    </row>
    <row r="360" spans="1:28" x14ac:dyDescent="0.2">
      <c r="A360">
        <v>7900000</v>
      </c>
      <c r="B360" t="str">
        <f t="shared" si="141"/>
        <v>7900000i</v>
      </c>
      <c r="C360" t="str">
        <f t="shared" ca="1" si="127"/>
        <v>1+106.289671857413i</v>
      </c>
      <c r="D360" t="str">
        <f t="shared" ca="1" si="128"/>
        <v>1+55.801577784893i</v>
      </c>
      <c r="E360" t="str">
        <f t="shared" ca="1" si="129"/>
        <v>1+36109.0275465525i</v>
      </c>
      <c r="F360">
        <f t="shared" ca="1" si="130"/>
        <v>69.486139019499433</v>
      </c>
      <c r="G360" t="str">
        <f t="shared" ca="1" si="142"/>
        <v>0.311603060454799+11.4116129372923i</v>
      </c>
      <c r="H360">
        <f t="shared" ca="1" si="143"/>
        <v>21.150177572840576</v>
      </c>
      <c r="I360">
        <f t="shared" ca="1" si="144"/>
        <v>88.435882368755514</v>
      </c>
      <c r="K360" t="str">
        <f t="shared" ca="1" si="131"/>
        <v>1+106.289671857413i</v>
      </c>
      <c r="L360" t="str">
        <f t="shared" ca="1" si="132"/>
        <v>1-29.2397317506116i</v>
      </c>
      <c r="M360" t="str">
        <f t="shared" ca="1" si="133"/>
        <v>1+34012.694994372i</v>
      </c>
      <c r="N360" t="str">
        <f t="shared" si="134"/>
        <v>1+85.5998318938122i</v>
      </c>
      <c r="O360">
        <f t="shared" ca="1" si="135"/>
        <v>30.873410267617786</v>
      </c>
      <c r="P360" t="str">
        <f t="shared" ca="1" si="150"/>
        <v>-0.032952572392484-0.00120296927070934i</v>
      </c>
      <c r="Q360">
        <f t="shared" ca="1" si="145"/>
        <v>-29.636429581203387</v>
      </c>
      <c r="R360">
        <f t="shared" ca="1" si="151"/>
        <v>-177.90928407457415</v>
      </c>
      <c r="T360" t="str">
        <f t="shared" si="136"/>
        <v>1+1358.8i</v>
      </c>
      <c r="U360" t="str">
        <f t="shared" si="137"/>
        <v>1+79i</v>
      </c>
      <c r="V360" t="str">
        <f t="shared" si="138"/>
        <v>-0.0000551957609655578i</v>
      </c>
      <c r="W360" t="str">
        <f t="shared" si="146"/>
        <v>0.0000113168110996028-0.000949223837834181i</v>
      </c>
      <c r="X360">
        <f t="shared" si="147"/>
        <v>-60.452010023265252</v>
      </c>
      <c r="Y360">
        <f t="shared" si="148"/>
        <v>-89.316942148665987</v>
      </c>
      <c r="Z360">
        <f t="shared" si="149"/>
        <v>1257324.0504259733</v>
      </c>
      <c r="AA360">
        <f t="shared" ca="1" si="139"/>
        <v>-39.301832450424676</v>
      </c>
      <c r="AB360">
        <f t="shared" ca="1" si="140"/>
        <v>-0.88105977991047268</v>
      </c>
    </row>
    <row r="361" spans="1:28" x14ac:dyDescent="0.2">
      <c r="A361">
        <v>8000000</v>
      </c>
      <c r="B361" t="str">
        <f t="shared" si="141"/>
        <v>8000000i</v>
      </c>
      <c r="C361" t="str">
        <f t="shared" ca="1" si="127"/>
        <v>1+107.635110741684i</v>
      </c>
      <c r="D361" t="str">
        <f t="shared" ca="1" si="128"/>
        <v>1+56.5079268707777i</v>
      </c>
      <c r="E361" t="str">
        <f t="shared" ca="1" si="129"/>
        <v>1+36566.1038446102i</v>
      </c>
      <c r="F361">
        <f t="shared" ca="1" si="130"/>
        <v>69.486139019499433</v>
      </c>
      <c r="G361" t="str">
        <f t="shared" ca="1" si="142"/>
        <v>0.311603059136746+11.5561119299127i</v>
      </c>
      <c r="H361">
        <f t="shared" ca="1" si="143"/>
        <v>21.259391298003393</v>
      </c>
      <c r="I361">
        <f t="shared" ca="1" si="144"/>
        <v>88.455430753419421</v>
      </c>
      <c r="K361" t="str">
        <f t="shared" ca="1" si="131"/>
        <v>1+107.635110741684i</v>
      </c>
      <c r="L361" t="str">
        <f t="shared" ca="1" si="132"/>
        <v>1-29.6098549373282i</v>
      </c>
      <c r="M361" t="str">
        <f t="shared" ca="1" si="133"/>
        <v>1+34443.2354373387i</v>
      </c>
      <c r="N361" t="str">
        <f t="shared" si="134"/>
        <v>1+86.6833740696832i</v>
      </c>
      <c r="O361">
        <f t="shared" ca="1" si="135"/>
        <v>30.873410267617786</v>
      </c>
      <c r="P361" t="str">
        <f t="shared" ca="1" si="150"/>
        <v>-0.0329526586742241-0.00118793314256084i</v>
      </c>
      <c r="Q361">
        <f t="shared" ca="1" si="145"/>
        <v>-29.636550460639185</v>
      </c>
      <c r="R361">
        <f t="shared" ca="1" si="151"/>
        <v>-177.93539894999395</v>
      </c>
      <c r="T361" t="str">
        <f t="shared" si="136"/>
        <v>1+1376i</v>
      </c>
      <c r="U361" t="str">
        <f t="shared" si="137"/>
        <v>1+80i</v>
      </c>
      <c r="V361" t="str">
        <f t="shared" si="138"/>
        <v>-0.0000545058139534884i</v>
      </c>
      <c r="W361" t="str">
        <f t="shared" si="146"/>
        <v>0.0000110357029969881-0.000937362053712538i</v>
      </c>
      <c r="X361">
        <f t="shared" si="147"/>
        <v>-60.561250710367311</v>
      </c>
      <c r="Y361">
        <f t="shared" si="148"/>
        <v>-89.325479421845017</v>
      </c>
      <c r="Z361">
        <f t="shared" si="149"/>
        <v>1273239.5447351628</v>
      </c>
      <c r="AA361">
        <f t="shared" ca="1" si="139"/>
        <v>-39.301859412363918</v>
      </c>
      <c r="AB361">
        <f t="shared" ca="1" si="140"/>
        <v>-0.87004866842559636</v>
      </c>
    </row>
    <row r="362" spans="1:28" x14ac:dyDescent="0.2">
      <c r="A362">
        <v>8100000</v>
      </c>
      <c r="B362" t="str">
        <f t="shared" si="141"/>
        <v>8100000i</v>
      </c>
      <c r="C362" t="str">
        <f t="shared" ca="1" si="127"/>
        <v>1+108.980549625955i</v>
      </c>
      <c r="D362" t="str">
        <f t="shared" ca="1" si="128"/>
        <v>1+57.2142759566624i</v>
      </c>
      <c r="E362" t="str">
        <f t="shared" ca="1" si="129"/>
        <v>1+37023.1801426678i</v>
      </c>
      <c r="F362">
        <f t="shared" ca="1" si="130"/>
        <v>69.486139019499433</v>
      </c>
      <c r="G362" t="str">
        <f t="shared" ca="1" si="142"/>
        <v>0.311603057867212+11.7006103312637i</v>
      </c>
      <c r="H362">
        <f t="shared" ca="1" si="143"/>
        <v>21.367249373090168</v>
      </c>
      <c r="I362">
        <f t="shared" ca="1" si="144"/>
        <v>88.474496574070699</v>
      </c>
      <c r="K362" t="str">
        <f t="shared" ca="1" si="131"/>
        <v>1+108.980549625955i</v>
      </c>
      <c r="L362" t="str">
        <f t="shared" ca="1" si="132"/>
        <v>1-29.9799781240448i</v>
      </c>
      <c r="M362" t="str">
        <f t="shared" ca="1" si="133"/>
        <v>1+34873.7758803055i</v>
      </c>
      <c r="N362" t="str">
        <f t="shared" si="134"/>
        <v>1+87.7669162455542i</v>
      </c>
      <c r="O362">
        <f t="shared" ca="1" si="135"/>
        <v>30.873410267617786</v>
      </c>
      <c r="P362" t="str">
        <f t="shared" ca="1" si="150"/>
        <v>-0.0329527417806605-0.00117326824093436i</v>
      </c>
      <c r="Q362">
        <f t="shared" ca="1" si="145"/>
        <v>-29.636666894184579</v>
      </c>
      <c r="R362">
        <f t="shared" ca="1" si="151"/>
        <v>-177.96086970645842</v>
      </c>
      <c r="T362" t="str">
        <f t="shared" si="136"/>
        <v>1+1393.2i</v>
      </c>
      <c r="U362" t="str">
        <f t="shared" si="137"/>
        <v>1+81i</v>
      </c>
      <c r="V362" t="str">
        <f t="shared" si="138"/>
        <v>-0.000053832902670112i</v>
      </c>
      <c r="W362" t="str">
        <f t="shared" si="146"/>
        <v>0.0000107649397872175-0.000925793025434726i</v>
      </c>
      <c r="X362">
        <f t="shared" si="147"/>
        <v>-60.66913475519604</v>
      </c>
      <c r="Y362">
        <f t="shared" si="148"/>
        <v>-89.333805932685678</v>
      </c>
      <c r="Z362">
        <f t="shared" si="149"/>
        <v>1289155.0390443522</v>
      </c>
      <c r="AA362">
        <f t="shared" ca="1" si="139"/>
        <v>-39.301885382105873</v>
      </c>
      <c r="AB362">
        <f t="shared" ca="1" si="140"/>
        <v>-0.85930935861497915</v>
      </c>
    </row>
    <row r="363" spans="1:28" x14ac:dyDescent="0.2">
      <c r="A363">
        <v>8200000</v>
      </c>
      <c r="B363" t="str">
        <f t="shared" si="141"/>
        <v>8200000i</v>
      </c>
      <c r="C363" t="str">
        <f t="shared" ca="1" si="127"/>
        <v>1+110.325988510226i</v>
      </c>
      <c r="D363" t="str">
        <f t="shared" ca="1" si="128"/>
        <v>1+57.9206250425472i</v>
      </c>
      <c r="E363" t="str">
        <f t="shared" ca="1" si="129"/>
        <v>1+37480.2564407254i</v>
      </c>
      <c r="F363">
        <f t="shared" ca="1" si="130"/>
        <v>69.486139019499433</v>
      </c>
      <c r="G363" t="str">
        <f t="shared" ca="1" si="142"/>
        <v>0.31160305664384+11.845108162977i</v>
      </c>
      <c r="H363">
        <f t="shared" ca="1" si="143"/>
        <v>21.473785027938611</v>
      </c>
      <c r="I363">
        <f t="shared" ca="1" si="144"/>
        <v>88.493097480120781</v>
      </c>
      <c r="K363" t="str">
        <f t="shared" ca="1" si="131"/>
        <v>1+110.325988510226i</v>
      </c>
      <c r="L363" t="str">
        <f t="shared" ca="1" si="132"/>
        <v>1-30.3501013107614i</v>
      </c>
      <c r="M363" t="str">
        <f t="shared" ca="1" si="133"/>
        <v>1+35304.3163232722i</v>
      </c>
      <c r="N363" t="str">
        <f t="shared" si="134"/>
        <v>1+88.8504584214253i</v>
      </c>
      <c r="O363">
        <f t="shared" ca="1" si="135"/>
        <v>30.873410267617786</v>
      </c>
      <c r="P363" t="str">
        <f t="shared" ca="1" si="150"/>
        <v>-0.0329528218657048-0.00115896098609075i</v>
      </c>
      <c r="Q363">
        <f t="shared" ca="1" si="145"/>
        <v>-29.636779097180384</v>
      </c>
      <c r="R363">
        <f t="shared" ca="1" si="151"/>
        <v>-177.98571987615335</v>
      </c>
      <c r="T363" t="str">
        <f t="shared" si="136"/>
        <v>1+1410.4i</v>
      </c>
      <c r="U363" t="str">
        <f t="shared" si="137"/>
        <v>1+82i</v>
      </c>
      <c r="V363" t="str">
        <f t="shared" si="138"/>
        <v>-0.0000531764038570618i</v>
      </c>
      <c r="W363" t="str">
        <f t="shared" si="146"/>
        <v>0.0000105040200570589-0.000914506048535889i</v>
      </c>
      <c r="X363">
        <f t="shared" si="147"/>
        <v>-60.775695435679893</v>
      </c>
      <c r="Y363">
        <f t="shared" si="148"/>
        <v>-89.341929390351822</v>
      </c>
      <c r="Z363">
        <f t="shared" si="149"/>
        <v>1305070.5333535417</v>
      </c>
      <c r="AA363">
        <f t="shared" ca="1" si="139"/>
        <v>-39.301910407741282</v>
      </c>
      <c r="AB363">
        <f t="shared" ca="1" si="140"/>
        <v>-0.84883191023104132</v>
      </c>
    </row>
    <row r="364" spans="1:28" x14ac:dyDescent="0.2">
      <c r="A364">
        <v>8300000</v>
      </c>
      <c r="B364" t="str">
        <f t="shared" si="141"/>
        <v>8300000i</v>
      </c>
      <c r="C364" t="str">
        <f t="shared" ca="1" si="127"/>
        <v>1+111.671427394497i</v>
      </c>
      <c r="D364" t="str">
        <f t="shared" ca="1" si="128"/>
        <v>1+58.6269741284319i</v>
      </c>
      <c r="E364" t="str">
        <f t="shared" ca="1" si="129"/>
        <v>1+37937.3327387831i</v>
      </c>
      <c r="F364">
        <f t="shared" ca="1" si="130"/>
        <v>69.486139019499433</v>
      </c>
      <c r="G364" t="str">
        <f t="shared" ca="1" si="142"/>
        <v>0.311603055464419+11.9896054456419i</v>
      </c>
      <c r="H364">
        <f t="shared" ca="1" si="143"/>
        <v>21.579030285820494</v>
      </c>
      <c r="I364">
        <f t="shared" ca="1" si="144"/>
        <v>88.511250270724588</v>
      </c>
      <c r="K364" t="str">
        <f t="shared" ca="1" si="131"/>
        <v>1+111.671427394497i</v>
      </c>
      <c r="L364" t="str">
        <f t="shared" ca="1" si="132"/>
        <v>1-30.720224497478i</v>
      </c>
      <c r="M364" t="str">
        <f t="shared" ca="1" si="133"/>
        <v>1+35734.8567662389i</v>
      </c>
      <c r="N364" t="str">
        <f t="shared" si="134"/>
        <v>1+89.9340005972963i</v>
      </c>
      <c r="O364">
        <f t="shared" ca="1" si="135"/>
        <v>30.873410267617786</v>
      </c>
      <c r="P364" t="str">
        <f t="shared" ca="1" si="150"/>
        <v>-0.0329528990740557-0.00114499845263446i</v>
      </c>
      <c r="Q364">
        <f t="shared" ca="1" si="145"/>
        <v>-29.636887272088014</v>
      </c>
      <c r="R364">
        <f t="shared" ca="1" si="151"/>
        <v>-178.0099718591411</v>
      </c>
      <c r="T364" t="str">
        <f t="shared" si="136"/>
        <v>1+1427.6i</v>
      </c>
      <c r="U364" t="str">
        <f t="shared" si="137"/>
        <v>1+83i</v>
      </c>
      <c r="V364" t="str">
        <f t="shared" si="138"/>
        <v>-0.0000525357242925189i</v>
      </c>
      <c r="W364" t="str">
        <f t="shared" si="146"/>
        <v>0.0000102524724069261-0.000903490934067386i</v>
      </c>
      <c r="X364">
        <f t="shared" si="147"/>
        <v>-60.880964820302729</v>
      </c>
      <c r="Y364">
        <f t="shared" si="148"/>
        <v>-89.349857132579046</v>
      </c>
      <c r="Z364">
        <f t="shared" si="149"/>
        <v>1320986.0276627312</v>
      </c>
      <c r="AA364">
        <f t="shared" ca="1" si="139"/>
        <v>-39.301934534482236</v>
      </c>
      <c r="AB364">
        <f t="shared" ca="1" si="140"/>
        <v>-0.83860686185445843</v>
      </c>
    </row>
    <row r="365" spans="1:28" x14ac:dyDescent="0.2">
      <c r="A365">
        <v>8400000</v>
      </c>
      <c r="B365" t="str">
        <f t="shared" si="141"/>
        <v>8400000i</v>
      </c>
      <c r="C365" t="str">
        <f t="shared" ca="1" si="127"/>
        <v>1+113.016866278768i</v>
      </c>
      <c r="D365" t="str">
        <f t="shared" ca="1" si="128"/>
        <v>1+59.3333232143166i</v>
      </c>
      <c r="E365" t="str">
        <f t="shared" ca="1" si="129"/>
        <v>1+38394.4090368407i</v>
      </c>
      <c r="F365">
        <f t="shared" ca="1" si="130"/>
        <v>69.486139019499433</v>
      </c>
      <c r="G365" t="str">
        <f t="shared" ca="1" si="142"/>
        <v>0.311603054326867+12.1341021988674i</v>
      </c>
      <c r="H365">
        <f t="shared" ca="1" si="143"/>
        <v>21.683016021135948</v>
      </c>
      <c r="I365">
        <f t="shared" ca="1" si="144"/>
        <v>88.528970945368712</v>
      </c>
      <c r="K365" t="str">
        <f t="shared" ca="1" si="131"/>
        <v>1+113.016866278768i</v>
      </c>
      <c r="L365" t="str">
        <f t="shared" ca="1" si="132"/>
        <v>1-31.0903476841946i</v>
      </c>
      <c r="M365" t="str">
        <f t="shared" ca="1" si="133"/>
        <v>1+36165.3972092057i</v>
      </c>
      <c r="N365" t="str">
        <f t="shared" si="134"/>
        <v>1+91.0175427731674i</v>
      </c>
      <c r="O365">
        <f t="shared" ca="1" si="135"/>
        <v>30.873410267617786</v>
      </c>
      <c r="P365" t="str">
        <f t="shared" ca="1" si="150"/>
        <v>-0.0329529735418525-0.00113136833057164i</v>
      </c>
      <c r="Q365">
        <f t="shared" ca="1" si="145"/>
        <v>-29.636991609402834</v>
      </c>
      <c r="R365">
        <f t="shared" ca="1" si="151"/>
        <v>-178.03364699061211</v>
      </c>
      <c r="T365" t="str">
        <f t="shared" si="136"/>
        <v>1+1444.8i</v>
      </c>
      <c r="U365" t="str">
        <f t="shared" si="137"/>
        <v>1+84i</v>
      </c>
      <c r="V365" t="str">
        <f t="shared" si="138"/>
        <v>-0.0000519102990033223i</v>
      </c>
      <c r="W365" t="str">
        <f t="shared" si="146"/>
        <v>0.000010009853320635-0.00089273797793666i</v>
      </c>
      <c r="X365">
        <f t="shared" si="147"/>
        <v>-60.984973826002431</v>
      </c>
      <c r="Y365">
        <f t="shared" si="148"/>
        <v>-89.357596147776832</v>
      </c>
      <c r="Z365">
        <f t="shared" si="149"/>
        <v>1336901.521971921</v>
      </c>
      <c r="AA365">
        <f t="shared" ca="1" si="139"/>
        <v>-39.301957804866483</v>
      </c>
      <c r="AB365">
        <f t="shared" ca="1" si="140"/>
        <v>-0.82862520240811932</v>
      </c>
    </row>
    <row r="366" spans="1:28" x14ac:dyDescent="0.2">
      <c r="A366">
        <v>8500000</v>
      </c>
      <c r="B366" t="str">
        <f t="shared" si="141"/>
        <v>8500000i</v>
      </c>
      <c r="C366" t="str">
        <f t="shared" ca="1" si="127"/>
        <v>1+114.362305163039i</v>
      </c>
      <c r="D366" t="str">
        <f t="shared" ca="1" si="128"/>
        <v>1+60.0396723002013i</v>
      </c>
      <c r="E366" t="str">
        <f t="shared" ca="1" si="129"/>
        <v>1+38851.4853348983i</v>
      </c>
      <c r="F366">
        <f t="shared" ca="1" si="130"/>
        <v>69.486139019499433</v>
      </c>
      <c r="G366" t="str">
        <f t="shared" ca="1" si="142"/>
        <v>0.31160305322923+12.2785984413395i</v>
      </c>
      <c r="H366">
        <f t="shared" ca="1" si="143"/>
        <v>21.785772013700914</v>
      </c>
      <c r="I366">
        <f t="shared" ca="1" si="144"/>
        <v>88.546274750890589</v>
      </c>
      <c r="K366" t="str">
        <f t="shared" ca="1" si="131"/>
        <v>1+114.362305163039i</v>
      </c>
      <c r="L366" t="str">
        <f t="shared" ca="1" si="132"/>
        <v>1-31.4604708709112i</v>
      </c>
      <c r="M366" t="str">
        <f t="shared" ca="1" si="133"/>
        <v>1+36595.9376521724i</v>
      </c>
      <c r="N366" t="str">
        <f t="shared" si="134"/>
        <v>1+92.1010849490384i</v>
      </c>
      <c r="O366">
        <f t="shared" ca="1" si="135"/>
        <v>30.873410267617786</v>
      </c>
      <c r="P366" t="str">
        <f t="shared" ca="1" si="150"/>
        <v>-0.0329530453972753-0.00111805888911653i</v>
      </c>
      <c r="Q366">
        <f t="shared" ca="1" si="145"/>
        <v>-29.637092288492831</v>
      </c>
      <c r="R366">
        <f t="shared" ca="1" si="151"/>
        <v>-178.05676560339958</v>
      </c>
      <c r="T366" t="str">
        <f t="shared" si="136"/>
        <v>1+1462i</v>
      </c>
      <c r="U366" t="str">
        <f t="shared" si="137"/>
        <v>1+85i</v>
      </c>
      <c r="V366" t="str">
        <f t="shared" si="138"/>
        <v>-0.0000512995896032832i</v>
      </c>
      <c r="W366" t="str">
        <f t="shared" si="146"/>
        <v>9.77574520948255E-06-0.0008822379324093i</v>
      </c>
      <c r="X366">
        <f t="shared" si="147"/>
        <v>-61.087752272646227</v>
      </c>
      <c r="Y366">
        <f t="shared" si="148"/>
        <v>-89.36515309557079</v>
      </c>
      <c r="Z366">
        <f t="shared" si="149"/>
        <v>1352817.0162811105</v>
      </c>
      <c r="AA366">
        <f t="shared" ca="1" si="139"/>
        <v>-39.301980258945314</v>
      </c>
      <c r="AB366">
        <f t="shared" ca="1" si="140"/>
        <v>-0.8188783446802006</v>
      </c>
    </row>
    <row r="367" spans="1:28" x14ac:dyDescent="0.2">
      <c r="A367">
        <v>8600000</v>
      </c>
      <c r="B367" t="str">
        <f t="shared" si="141"/>
        <v>8600000i</v>
      </c>
      <c r="C367" t="str">
        <f t="shared" ca="1" si="127"/>
        <v>1+115.70774404731i</v>
      </c>
      <c r="D367" t="str">
        <f t="shared" ca="1" si="128"/>
        <v>1+60.746021386086i</v>
      </c>
      <c r="E367" t="str">
        <f t="shared" ca="1" si="129"/>
        <v>1+39308.5616329559i</v>
      </c>
      <c r="F367">
        <f t="shared" ca="1" si="130"/>
        <v>69.486139019499433</v>
      </c>
      <c r="G367" t="str">
        <f t="shared" ca="1" si="142"/>
        <v>0.311603052169659+12.4230941908752i</v>
      </c>
      <c r="H367">
        <f t="shared" ca="1" si="143"/>
        <v>21.887326999867049</v>
      </c>
      <c r="I367">
        <f t="shared" ca="1" si="144"/>
        <v>88.563176225218811</v>
      </c>
      <c r="K367" t="str">
        <f t="shared" ca="1" si="131"/>
        <v>1+115.70774404731i</v>
      </c>
      <c r="L367" t="str">
        <f t="shared" ca="1" si="132"/>
        <v>1-31.8305940576278i</v>
      </c>
      <c r="M367" t="str">
        <f t="shared" ca="1" si="133"/>
        <v>1+37026.4780951392i</v>
      </c>
      <c r="N367" t="str">
        <f t="shared" si="134"/>
        <v>1+93.1846271249094i</v>
      </c>
      <c r="O367">
        <f t="shared" ca="1" si="135"/>
        <v>30.873410267617786</v>
      </c>
      <c r="P367" t="str">
        <f t="shared" ca="1" si="150"/>
        <v>-0.0329531147610973-0.00110505894302242i</v>
      </c>
      <c r="Q367">
        <f t="shared" ca="1" si="145"/>
        <v>-29.637189478369347</v>
      </c>
      <c r="R367">
        <f t="shared" ca="1" si="151"/>
        <v>-178.07934708614326</v>
      </c>
      <c r="T367" t="str">
        <f t="shared" si="136"/>
        <v>1+1479.2i</v>
      </c>
      <c r="U367" t="str">
        <f t="shared" si="137"/>
        <v>1+86i</v>
      </c>
      <c r="V367" t="str">
        <f t="shared" si="138"/>
        <v>-0.0000507030827474311i</v>
      </c>
      <c r="W367" t="str">
        <f t="shared" si="146"/>
        <v>9.54975461453576E-06-0.000871981979597507i</v>
      </c>
      <c r="X367">
        <f t="shared" si="147"/>
        <v>-61.189328934322603</v>
      </c>
      <c r="Y367">
        <f t="shared" si="148"/>
        <v>-89.372534325912326</v>
      </c>
      <c r="Z367">
        <f t="shared" si="149"/>
        <v>1368732.5105903</v>
      </c>
      <c r="AA367">
        <f t="shared" ca="1" si="139"/>
        <v>-39.302001934455554</v>
      </c>
      <c r="AB367">
        <f t="shared" ca="1" si="140"/>
        <v>-0.80935810069351533</v>
      </c>
    </row>
    <row r="368" spans="1:28" x14ac:dyDescent="0.2">
      <c r="A368">
        <v>8700000</v>
      </c>
      <c r="B368" t="str">
        <f t="shared" si="141"/>
        <v>8700000i</v>
      </c>
      <c r="C368" t="str">
        <f t="shared" ca="1" si="127"/>
        <v>1+117.053182931581i</v>
      </c>
      <c r="D368" t="str">
        <f t="shared" ca="1" si="128"/>
        <v>1+61.4523704719708i</v>
      </c>
      <c r="E368" t="str">
        <f t="shared" ca="1" si="129"/>
        <v>1+39765.6379310136i</v>
      </c>
      <c r="F368">
        <f t="shared" ca="1" si="130"/>
        <v>69.486139019499433</v>
      </c>
      <c r="G368" t="str">
        <f t="shared" ca="1" si="142"/>
        <v>0.311603051146414+12.5675894644723i</v>
      </c>
      <c r="H368">
        <f t="shared" ca="1" si="143"/>
        <v>21.98770872069246</v>
      </c>
      <c r="I368">
        <f t="shared" ca="1" si="144"/>
        <v>88.579689238098325</v>
      </c>
      <c r="K368" t="str">
        <f t="shared" ca="1" si="131"/>
        <v>1+117.053182931581i</v>
      </c>
      <c r="L368" t="str">
        <f t="shared" ca="1" si="132"/>
        <v>1-32.2007172443444i</v>
      </c>
      <c r="M368" t="str">
        <f t="shared" ca="1" si="133"/>
        <v>1+37457.0185381059i</v>
      </c>
      <c r="N368" t="str">
        <f t="shared" si="134"/>
        <v>1+94.2681693007805i</v>
      </c>
      <c r="O368">
        <f t="shared" ca="1" si="135"/>
        <v>30.873410267617786</v>
      </c>
      <c r="P368" t="str">
        <f t="shared" ca="1" si="150"/>
        <v>-0.0329531817471926-0.00109235782123421i</v>
      </c>
      <c r="Q368">
        <f t="shared" ca="1" si="145"/>
        <v>-29.637283338396326</v>
      </c>
      <c r="R368">
        <f t="shared" ca="1" si="151"/>
        <v>-178.10140993745048</v>
      </c>
      <c r="T368" t="str">
        <f t="shared" si="136"/>
        <v>1+1496.4i</v>
      </c>
      <c r="U368" t="str">
        <f t="shared" si="137"/>
        <v>1+87i</v>
      </c>
      <c r="V368" t="str">
        <f t="shared" si="138"/>
        <v>-0.0000501202886928629i</v>
      </c>
      <c r="W368" t="str">
        <f t="shared" si="146"/>
        <v>9.33151055267119E-06-0.000861961706775257i</v>
      </c>
      <c r="X368">
        <f t="shared" si="147"/>
        <v>-61.289731587671042</v>
      </c>
      <c r="Y368">
        <f t="shared" si="148"/>
        <v>-89.379745896871</v>
      </c>
      <c r="Z368">
        <f t="shared" si="149"/>
        <v>1384648.0048994895</v>
      </c>
      <c r="AA368">
        <f t="shared" ca="1" si="139"/>
        <v>-39.302022866978582</v>
      </c>
      <c r="AB368">
        <f t="shared" ca="1" si="140"/>
        <v>-0.80005665877267518</v>
      </c>
    </row>
    <row r="369" spans="1:28" x14ac:dyDescent="0.2">
      <c r="A369">
        <v>8800000</v>
      </c>
      <c r="B369" t="str">
        <f t="shared" si="141"/>
        <v>8800000i</v>
      </c>
      <c r="C369" t="str">
        <f t="shared" ca="1" si="127"/>
        <v>1+118.398621815852i</v>
      </c>
      <c r="D369" t="str">
        <f t="shared" ca="1" si="128"/>
        <v>1+62.1587195578555i</v>
      </c>
      <c r="E369" t="str">
        <f t="shared" ca="1" si="129"/>
        <v>1+40222.7142290712i</v>
      </c>
      <c r="F369">
        <f t="shared" ca="1" si="130"/>
        <v>69.486139019499433</v>
      </c>
      <c r="G369" t="str">
        <f t="shared" ca="1" si="142"/>
        <v>0.311603050157855+12.7120842783561i</v>
      </c>
      <c r="H369">
        <f t="shared" ca="1" si="143"/>
        <v>22.08694396736556</v>
      </c>
      <c r="I369">
        <f t="shared" ca="1" si="144"/>
        <v>88.595827029040152</v>
      </c>
      <c r="K369" t="str">
        <f t="shared" ca="1" si="131"/>
        <v>1+118.398621815852i</v>
      </c>
      <c r="L369" t="str">
        <f t="shared" ca="1" si="132"/>
        <v>1-32.570840431061i</v>
      </c>
      <c r="M369" t="str">
        <f t="shared" ca="1" si="133"/>
        <v>1+37887.5589810726i</v>
      </c>
      <c r="N369" t="str">
        <f t="shared" si="134"/>
        <v>1+95.3517114766515i</v>
      </c>
      <c r="O369">
        <f t="shared" ca="1" si="135"/>
        <v>30.873410267617786</v>
      </c>
      <c r="P369" t="str">
        <f t="shared" ca="1" si="150"/>
        <v>-0.0329532464630036-0.0010799453376778i</v>
      </c>
      <c r="Q369">
        <f t="shared" ca="1" si="145"/>
        <v>-29.637374018943611</v>
      </c>
      <c r="R369">
        <f t="shared" ca="1" si="151"/>
        <v>-178.12297181637248</v>
      </c>
      <c r="T369" t="str">
        <f t="shared" si="136"/>
        <v>1+1513.6i</v>
      </c>
      <c r="U369" t="str">
        <f t="shared" si="137"/>
        <v>1+88i</v>
      </c>
      <c r="V369" t="str">
        <f t="shared" si="138"/>
        <v>-0.0000495507399577167i</v>
      </c>
      <c r="W369" t="str">
        <f t="shared" si="146"/>
        <v>9.12066299337907E-06-0.000852169083375075i</v>
      </c>
      <c r="X369">
        <f t="shared" si="147"/>
        <v>-61.388987057451551</v>
      </c>
      <c r="Y369">
        <f t="shared" si="148"/>
        <v>-89.386793591213873</v>
      </c>
      <c r="Z369">
        <f t="shared" si="149"/>
        <v>1400563.499208679</v>
      </c>
      <c r="AA369">
        <f t="shared" ca="1" si="139"/>
        <v>-39.302043090085988</v>
      </c>
      <c r="AB369">
        <f t="shared" ca="1" si="140"/>
        <v>-0.79096656217372185</v>
      </c>
    </row>
    <row r="370" spans="1:28" x14ac:dyDescent="0.2">
      <c r="A370">
        <v>8900000</v>
      </c>
      <c r="B370" t="str">
        <f t="shared" si="141"/>
        <v>8900000i</v>
      </c>
      <c r="C370" t="str">
        <f t="shared" ca="1" si="127"/>
        <v>1+119.744060700123i</v>
      </c>
      <c r="D370" t="str">
        <f t="shared" ca="1" si="128"/>
        <v>1+62.8650686437402i</v>
      </c>
      <c r="E370" t="str">
        <f t="shared" ca="1" si="129"/>
        <v>1+40679.7905271288i</v>
      </c>
      <c r="F370">
        <f t="shared" ca="1" si="130"/>
        <v>69.486139019499433</v>
      </c>
      <c r="G370" t="str">
        <f t="shared" ca="1" si="142"/>
        <v>0.311603049202428+12.8565786480223i</v>
      </c>
      <c r="H370">
        <f t="shared" ca="1" si="143"/>
        <v>22.185058624067139</v>
      </c>
      <c r="I370">
        <f t="shared" ca="1" si="144"/>
        <v>88.611602242714071</v>
      </c>
      <c r="K370" t="str">
        <f t="shared" ca="1" si="131"/>
        <v>1+119.744060700123i</v>
      </c>
      <c r="L370" t="str">
        <f t="shared" ca="1" si="132"/>
        <v>1-32.9409636177776i</v>
      </c>
      <c r="M370" t="str">
        <f t="shared" ca="1" si="133"/>
        <v>1+38318.0994240394i</v>
      </c>
      <c r="N370" t="str">
        <f t="shared" si="134"/>
        <v>1+96.4352536525226i</v>
      </c>
      <c r="O370">
        <f t="shared" ca="1" si="135"/>
        <v>30.873410267617786</v>
      </c>
      <c r="P370" t="str">
        <f t="shared" ca="1" si="150"/>
        <v>-0.0329533090099714-0.00106781176401843i</v>
      </c>
      <c r="Q370">
        <f t="shared" ca="1" si="145"/>
        <v>-29.637461661989342</v>
      </c>
      <c r="R370">
        <f t="shared" ca="1" si="151"/>
        <v>-178.14404958948512</v>
      </c>
      <c r="T370" t="str">
        <f t="shared" si="136"/>
        <v>1+1530.8i</v>
      </c>
      <c r="U370" t="str">
        <f t="shared" si="137"/>
        <v>1+89i</v>
      </c>
      <c r="V370" t="str">
        <f t="shared" si="138"/>
        <v>-0.0000489939900705514i</v>
      </c>
      <c r="W370" t="str">
        <f t="shared" si="146"/>
        <v>8.91688145464795E-06-0.000842596439534219i</v>
      </c>
      <c r="X370">
        <f t="shared" si="147"/>
        <v>-61.487121259541951</v>
      </c>
      <c r="Y370">
        <f t="shared" si="148"/>
        <v>-89.393682931867843</v>
      </c>
      <c r="Z370">
        <f t="shared" si="149"/>
        <v>1416478.9935178685</v>
      </c>
      <c r="AA370">
        <f t="shared" ca="1" si="139"/>
        <v>-39.302062635474812</v>
      </c>
      <c r="AB370">
        <f t="shared" ca="1" si="140"/>
        <v>-0.78208068915377282</v>
      </c>
    </row>
    <row r="371" spans="1:28" x14ac:dyDescent="0.2">
      <c r="A371">
        <v>9000000</v>
      </c>
      <c r="B371" t="str">
        <f t="shared" si="141"/>
        <v>9000000i</v>
      </c>
      <c r="C371" t="str">
        <f t="shared" ca="1" si="127"/>
        <v>1+121.089499584394i</v>
      </c>
      <c r="D371" t="str">
        <f t="shared" ca="1" si="128"/>
        <v>1+63.5714177296249i</v>
      </c>
      <c r="E371" t="str">
        <f t="shared" ca="1" si="129"/>
        <v>1+41136.8668251864i</v>
      </c>
      <c r="F371">
        <f t="shared" ca="1" si="130"/>
        <v>69.486139019499433</v>
      </c>
      <c r="G371" t="str">
        <f t="shared" ca="1" si="142"/>
        <v>0.311603048278674+13.0010725882784i</v>
      </c>
      <c r="H371">
        <f t="shared" ca="1" si="143"/>
        <v>22.282077708443474</v>
      </c>
      <c r="I371">
        <f t="shared" ca="1" si="144"/>
        <v>88.627026961982523</v>
      </c>
      <c r="K371" t="str">
        <f t="shared" ca="1" si="131"/>
        <v>1+121.089499584394i</v>
      </c>
      <c r="L371" t="str">
        <f t="shared" ca="1" si="132"/>
        <v>1-33.3110868044942i</v>
      </c>
      <c r="M371" t="str">
        <f t="shared" ca="1" si="133"/>
        <v>1+38748.6398670061i</v>
      </c>
      <c r="N371" t="str">
        <f t="shared" si="134"/>
        <v>1+97.5187958283936i</v>
      </c>
      <c r="O371">
        <f t="shared" ca="1" si="135"/>
        <v>30.873410267617786</v>
      </c>
      <c r="P371" t="str">
        <f t="shared" ca="1" si="150"/>
        <v>-0.0329533694839351-0.00105594780423479i</v>
      </c>
      <c r="Q371">
        <f t="shared" ca="1" si="145"/>
        <v>-29.637546401675241</v>
      </c>
      <c r="R371">
        <f t="shared" ca="1" si="151"/>
        <v>-178.16465937483747</v>
      </c>
      <c r="T371" t="str">
        <f t="shared" si="136"/>
        <v>1+1548i</v>
      </c>
      <c r="U371" t="str">
        <f t="shared" si="137"/>
        <v>1+90i</v>
      </c>
      <c r="V371" t="str">
        <f t="shared" si="138"/>
        <v>-0.0000484496124031008i</v>
      </c>
      <c r="W371" t="str">
        <f t="shared" si="146"/>
        <v>8.71985370740908E-06-0.000833236446069918i</v>
      </c>
      <c r="X371">
        <f t="shared" si="147"/>
        <v>-61.5841592415346</v>
      </c>
      <c r="Y371">
        <f t="shared" si="148"/>
        <v>-89.400419196351152</v>
      </c>
      <c r="Z371">
        <f t="shared" si="149"/>
        <v>1432394.4878270582</v>
      </c>
      <c r="AA371">
        <f t="shared" ca="1" si="139"/>
        <v>-39.302081533091126</v>
      </c>
      <c r="AB371">
        <f t="shared" ca="1" si="140"/>
        <v>-0.77339223436862881</v>
      </c>
    </row>
    <row r="372" spans="1:28" x14ac:dyDescent="0.2">
      <c r="A372">
        <v>9100000</v>
      </c>
      <c r="B372" t="str">
        <f t="shared" si="141"/>
        <v>9100000i</v>
      </c>
      <c r="C372" t="str">
        <f t="shared" ca="1" si="127"/>
        <v>1+122.434938468665i</v>
      </c>
      <c r="D372" t="str">
        <f t="shared" ca="1" si="128"/>
        <v>1+64.2777668155097i</v>
      </c>
      <c r="E372" t="str">
        <f t="shared" ca="1" si="129"/>
        <v>1+41593.9431232441i</v>
      </c>
      <c r="F372">
        <f t="shared" ca="1" si="130"/>
        <v>69.486139019499433</v>
      </c>
      <c r="G372" t="str">
        <f t="shared" ca="1" si="142"/>
        <v>0.311603047385204+13.1455661132806i</v>
      </c>
      <c r="H372">
        <f t="shared" ca="1" si="143"/>
        <v>22.378025409846259</v>
      </c>
      <c r="I372">
        <f t="shared" ca="1" si="144"/>
        <v>88.642112738757803</v>
      </c>
      <c r="K372" t="str">
        <f t="shared" ca="1" si="131"/>
        <v>1+122.434938468665i</v>
      </c>
      <c r="L372" t="str">
        <f t="shared" ca="1" si="132"/>
        <v>1-33.6812099912108i</v>
      </c>
      <c r="M372" t="str">
        <f t="shared" ca="1" si="133"/>
        <v>1+39179.1803099728i</v>
      </c>
      <c r="N372" t="str">
        <f t="shared" si="134"/>
        <v>1+98.6023380042646i</v>
      </c>
      <c r="O372">
        <f t="shared" ca="1" si="135"/>
        <v>30.873410267617786</v>
      </c>
      <c r="P372" t="str">
        <f t="shared" ca="1" si="150"/>
        <v>-0.0329534279754975-0.00104434457086915i</v>
      </c>
      <c r="Q372">
        <f t="shared" ca="1" si="145"/>
        <v>-29.637628364820266</v>
      </c>
      <c r="R372">
        <f t="shared" ca="1" si="151"/>
        <v>-178.18481658300843</v>
      </c>
      <c r="T372" t="str">
        <f t="shared" si="136"/>
        <v>1+1565.2i</v>
      </c>
      <c r="U372" t="str">
        <f t="shared" si="137"/>
        <v>1+91i</v>
      </c>
      <c r="V372" t="str">
        <f t="shared" si="138"/>
        <v>-0.0000479171990799898i</v>
      </c>
      <c r="W372" t="str">
        <f t="shared" si="146"/>
        <v>8.52928457905348E-06-0.000824082095773857i</v>
      </c>
      <c r="X372">
        <f t="shared" si="147"/>
        <v>-61.680125221091622</v>
      </c>
      <c r="Y372">
        <f t="shared" si="148"/>
        <v>-89.407007430253969</v>
      </c>
      <c r="Z372">
        <f t="shared" si="149"/>
        <v>1448309.9821362477</v>
      </c>
      <c r="AA372">
        <f t="shared" ca="1" si="139"/>
        <v>-39.302099811245363</v>
      </c>
      <c r="AB372">
        <f t="shared" ca="1" si="140"/>
        <v>-0.76489469149616696</v>
      </c>
    </row>
    <row r="373" spans="1:28" x14ac:dyDescent="0.2">
      <c r="A373">
        <v>9200000</v>
      </c>
      <c r="B373" t="str">
        <f t="shared" si="141"/>
        <v>9200000i</v>
      </c>
      <c r="C373" t="str">
        <f t="shared" ca="1" si="127"/>
        <v>1+123.780377352936i</v>
      </c>
      <c r="D373" t="str">
        <f t="shared" ca="1" si="128"/>
        <v>1+64.9841159013944i</v>
      </c>
      <c r="E373" t="str">
        <f t="shared" ca="1" si="129"/>
        <v>1+42051.0194213017i</v>
      </c>
      <c r="F373">
        <f t="shared" ca="1" si="130"/>
        <v>69.486139019499433</v>
      </c>
      <c r="G373" t="str">
        <f t="shared" ca="1" si="142"/>
        <v>0.311603046520712+13.2900592365699i</v>
      </c>
      <c r="H373">
        <f t="shared" ca="1" si="143"/>
        <v>22.472925125487887</v>
      </c>
      <c r="I373">
        <f t="shared" ca="1" si="144"/>
        <v>88.656870622847308</v>
      </c>
      <c r="K373" t="str">
        <f t="shared" ca="1" si="131"/>
        <v>1+123.780377352936i</v>
      </c>
      <c r="L373" t="str">
        <f t="shared" ca="1" si="132"/>
        <v>1-34.0513331779274i</v>
      </c>
      <c r="M373" t="str">
        <f t="shared" ca="1" si="133"/>
        <v>1+39609.7207529396i</v>
      </c>
      <c r="N373" t="str">
        <f t="shared" si="134"/>
        <v>1+99.6858801801357i</v>
      </c>
      <c r="O373">
        <f t="shared" ca="1" si="135"/>
        <v>30.873410267617786</v>
      </c>
      <c r="P373" t="str">
        <f t="shared" ca="1" si="150"/>
        <v>-0.032953484570365-0.00103299356282629i</v>
      </c>
      <c r="Q373">
        <f t="shared" ca="1" si="145"/>
        <v>-29.637707671395006</v>
      </c>
      <c r="R373">
        <f t="shared" ca="1" si="151"/>
        <v>-178.20453595549105</v>
      </c>
      <c r="T373" t="str">
        <f t="shared" si="136"/>
        <v>1+1582.4i</v>
      </c>
      <c r="U373" t="str">
        <f t="shared" si="137"/>
        <v>1+92i</v>
      </c>
      <c r="V373" t="str">
        <f t="shared" si="138"/>
        <v>-0.0000473963599595551i</v>
      </c>
      <c r="W373" t="str">
        <f t="shared" si="146"/>
        <v>8.34489484745669E-06-0.000815126685925571i</v>
      </c>
      <c r="X373">
        <f t="shared" si="147"/>
        <v>-61.775042622205909</v>
      </c>
      <c r="Y373">
        <f t="shared" si="148"/>
        <v>-89.413452459839831</v>
      </c>
      <c r="Z373">
        <f t="shared" si="149"/>
        <v>1464225.4764454372</v>
      </c>
      <c r="AA373">
        <f t="shared" ca="1" si="139"/>
        <v>-39.302117496718026</v>
      </c>
      <c r="AB373">
        <f t="shared" ca="1" si="140"/>
        <v>-0.7565818369925239</v>
      </c>
    </row>
    <row r="374" spans="1:28" x14ac:dyDescent="0.2">
      <c r="A374">
        <v>9300000</v>
      </c>
      <c r="B374" t="str">
        <f t="shared" si="141"/>
        <v>9300000i</v>
      </c>
      <c r="C374" t="str">
        <f t="shared" ca="1" si="127"/>
        <v>1+125.125816237207i</v>
      </c>
      <c r="D374" t="str">
        <f t="shared" ca="1" si="128"/>
        <v>1+65.6904649872791i</v>
      </c>
      <c r="E374" t="str">
        <f t="shared" ca="1" si="129"/>
        <v>1+42508.0957193593i</v>
      </c>
      <c r="F374">
        <f t="shared" ca="1" si="130"/>
        <v>69.486139019499433</v>
      </c>
      <c r="G374" t="str">
        <f t="shared" ca="1" si="142"/>
        <v>0.311603045683954+13.4345519711048i</v>
      </c>
      <c r="H374">
        <f t="shared" ca="1" si="143"/>
        <v>22.566799494645167</v>
      </c>
      <c r="I374">
        <f t="shared" ca="1" si="144"/>
        <v>88.671311188938958</v>
      </c>
      <c r="K374" t="str">
        <f t="shared" ca="1" si="131"/>
        <v>1+125.125816237207i</v>
      </c>
      <c r="L374" t="str">
        <f t="shared" ca="1" si="132"/>
        <v>1-34.421456364644i</v>
      </c>
      <c r="M374" t="str">
        <f t="shared" ca="1" si="133"/>
        <v>1+40040.2611959063i</v>
      </c>
      <c r="N374" t="str">
        <f t="shared" si="134"/>
        <v>1+100.769422356007i</v>
      </c>
      <c r="O374">
        <f t="shared" ca="1" si="135"/>
        <v>30.873410267617786</v>
      </c>
      <c r="P374" t="str">
        <f t="shared" ca="1" si="150"/>
        <v>-0.032953539349663-0.00102188664460434i</v>
      </c>
      <c r="Q374">
        <f t="shared" ca="1" si="145"/>
        <v>-29.637784434960274</v>
      </c>
      <c r="R374">
        <f t="shared" ca="1" si="151"/>
        <v>-178.22383160060545</v>
      </c>
      <c r="T374" t="str">
        <f t="shared" si="136"/>
        <v>1+1599.6i</v>
      </c>
      <c r="U374" t="str">
        <f t="shared" si="137"/>
        <v>1+93i</v>
      </c>
      <c r="V374" t="str">
        <f t="shared" si="138"/>
        <v>-0.0000468867216804201i</v>
      </c>
      <c r="W374" t="str">
        <f t="shared" si="146"/>
        <v>8.16642021777121E-06-0.000806363801933142i</v>
      </c>
      <c r="X374">
        <f t="shared" si="147"/>
        <v>-61.868934109503101</v>
      </c>
      <c r="Y374">
        <f t="shared" si="148"/>
        <v>-89.419758903834435</v>
      </c>
      <c r="Z374">
        <f t="shared" si="149"/>
        <v>1480140.9707546267</v>
      </c>
      <c r="AA374">
        <f t="shared" ca="1" si="139"/>
        <v>-39.302134614857934</v>
      </c>
      <c r="AB374">
        <f t="shared" ca="1" si="140"/>
        <v>-0.74844771489547668</v>
      </c>
    </row>
    <row r="375" spans="1:28" x14ac:dyDescent="0.2">
      <c r="A375">
        <v>9400000</v>
      </c>
      <c r="B375" t="str">
        <f t="shared" si="141"/>
        <v>9400000i</v>
      </c>
      <c r="C375" t="str">
        <f t="shared" ca="1" si="127"/>
        <v>1+126.471255121478i</v>
      </c>
      <c r="D375" t="str">
        <f t="shared" ca="1" si="128"/>
        <v>1+66.3968140731638i</v>
      </c>
      <c r="E375" t="str">
        <f t="shared" ca="1" si="129"/>
        <v>1+42965.172017417i</v>
      </c>
      <c r="F375">
        <f t="shared" ca="1" si="130"/>
        <v>69.486139019499433</v>
      </c>
      <c r="G375" t="str">
        <f t="shared" ca="1" si="142"/>
        <v>0.31160304487376+13.5790443292922i</v>
      </c>
      <c r="H375">
        <f t="shared" ca="1" si="143"/>
        <v>22.659670431037348</v>
      </c>
      <c r="I375">
        <f t="shared" ca="1" si="144"/>
        <v>88.685444561864387</v>
      </c>
      <c r="K375" t="str">
        <f t="shared" ca="1" si="131"/>
        <v>1+126.471255121478i</v>
      </c>
      <c r="L375" t="str">
        <f t="shared" ca="1" si="132"/>
        <v>1-34.7915795513606i</v>
      </c>
      <c r="M375" t="str">
        <f t="shared" ca="1" si="133"/>
        <v>1+40470.801638873i</v>
      </c>
      <c r="N375" t="str">
        <f t="shared" si="134"/>
        <v>1+101.852964531878i</v>
      </c>
      <c r="O375">
        <f t="shared" ca="1" si="135"/>
        <v>30.873410267617786</v>
      </c>
      <c r="P375" t="str">
        <f t="shared" ca="1" si="150"/>
        <v>-0.0329535923902245-0.00101101602685122i</v>
      </c>
      <c r="Q375">
        <f t="shared" ca="1" si="145"/>
        <v>-29.637858763074256</v>
      </c>
      <c r="R375">
        <f t="shared" ca="1" si="151"/>
        <v>-178.24271702712366</v>
      </c>
      <c r="T375" t="str">
        <f t="shared" si="136"/>
        <v>1+1616.8i</v>
      </c>
      <c r="U375" t="str">
        <f t="shared" si="137"/>
        <v>1+94i</v>
      </c>
      <c r="V375" t="str">
        <f t="shared" si="138"/>
        <v>-0.0000463879267689263i</v>
      </c>
      <c r="W375" t="str">
        <f t="shared" si="146"/>
        <v>7.99361037498256E-06-0.000797787302017287i</v>
      </c>
      <c r="X375">
        <f t="shared" si="147"/>
        <v>-61.961821620710609</v>
      </c>
      <c r="Y375">
        <f t="shared" si="148"/>
        <v>-89.425931184462215</v>
      </c>
      <c r="Z375">
        <f t="shared" si="149"/>
        <v>1496056.4650638162</v>
      </c>
      <c r="AA375">
        <f t="shared" ca="1" si="139"/>
        <v>-39.30215118967326</v>
      </c>
      <c r="AB375">
        <f t="shared" ca="1" si="140"/>
        <v>-0.74048662259782816</v>
      </c>
    </row>
    <row r="376" spans="1:28" x14ac:dyDescent="0.2">
      <c r="A376">
        <v>9500000</v>
      </c>
      <c r="B376" t="str">
        <f t="shared" si="141"/>
        <v>9500000i</v>
      </c>
      <c r="C376" t="str">
        <f t="shared" ca="1" si="127"/>
        <v>1+127.816694005749i</v>
      </c>
      <c r="D376" t="str">
        <f t="shared" ca="1" si="128"/>
        <v>1+67.1031631590485i</v>
      </c>
      <c r="E376" t="str">
        <f t="shared" ca="1" si="129"/>
        <v>1+43422.2483154746i</v>
      </c>
      <c r="F376">
        <f t="shared" ca="1" si="130"/>
        <v>69.486139019499433</v>
      </c>
      <c r="G376" t="str">
        <f t="shared" ca="1" si="142"/>
        <v>0.311603044089017+13.7235363230169i</v>
      </c>
      <c r="H376">
        <f t="shared" ca="1" si="143"/>
        <v>22.751559153494266</v>
      </c>
      <c r="I376">
        <f t="shared" ca="1" si="144"/>
        <v>88.699280440267785</v>
      </c>
      <c r="K376" t="str">
        <f t="shared" ca="1" si="131"/>
        <v>1+127.816694005749i</v>
      </c>
      <c r="L376" t="str">
        <f t="shared" ca="1" si="132"/>
        <v>1-35.1617027380772i</v>
      </c>
      <c r="M376" t="str">
        <f t="shared" ca="1" si="133"/>
        <v>1+40901.3420818398i</v>
      </c>
      <c r="N376" t="str">
        <f t="shared" si="134"/>
        <v>1+102.936506707749i</v>
      </c>
      <c r="O376">
        <f t="shared" ca="1" si="135"/>
        <v>30.873410267617786</v>
      </c>
      <c r="P376" t="str">
        <f t="shared" ca="1" si="150"/>
        <v>-0.032953643764861-0.00100037424814877i</v>
      </c>
      <c r="Q376">
        <f t="shared" ca="1" si="145"/>
        <v>-29.637930757668865</v>
      </c>
      <c r="R376">
        <f t="shared" ca="1" si="151"/>
        <v>-178.26120517577459</v>
      </c>
      <c r="T376" t="str">
        <f t="shared" si="136"/>
        <v>1+1634i</v>
      </c>
      <c r="U376" t="str">
        <f t="shared" si="137"/>
        <v>1+95i</v>
      </c>
      <c r="V376" t="str">
        <f t="shared" si="138"/>
        <v>-0.0000458996328029376i</v>
      </c>
      <c r="W376" t="str">
        <f t="shared" si="146"/>
        <v>7.82622810588532E-06-0.000789391302862043i</v>
      </c>
      <c r="X376">
        <f t="shared" si="147"/>
        <v>-62.053726397409676</v>
      </c>
      <c r="Y376">
        <f t="shared" si="148"/>
        <v>-89.431973537785893</v>
      </c>
      <c r="Z376">
        <f t="shared" si="149"/>
        <v>1511971.9593730057</v>
      </c>
      <c r="AA376">
        <f t="shared" ca="1" si="139"/>
        <v>-39.302167243915406</v>
      </c>
      <c r="AB376">
        <f t="shared" ca="1" si="140"/>
        <v>-0.73269309751810852</v>
      </c>
    </row>
    <row r="377" spans="1:28" x14ac:dyDescent="0.2">
      <c r="A377">
        <v>9600000</v>
      </c>
      <c r="B377" t="str">
        <f t="shared" si="141"/>
        <v>9600000i</v>
      </c>
      <c r="C377" t="str">
        <f t="shared" ca="1" si="127"/>
        <v>1+129.16213289002i</v>
      </c>
      <c r="D377" t="str">
        <f t="shared" ca="1" si="128"/>
        <v>1+67.8095122449333i</v>
      </c>
      <c r="E377" t="str">
        <f t="shared" ca="1" si="129"/>
        <v>1+43879.3246135322i</v>
      </c>
      <c r="F377">
        <f t="shared" ca="1" si="130"/>
        <v>69.486139019499433</v>
      </c>
      <c r="G377" t="str">
        <f t="shared" ca="1" si="142"/>
        <v>0.31160304332867+13.8680279636684i</v>
      </c>
      <c r="H377">
        <f t="shared" ca="1" si="143"/>
        <v>22.842486215021083</v>
      </c>
      <c r="I377">
        <f t="shared" ca="1" si="144"/>
        <v>88.712828118795457</v>
      </c>
      <c r="K377" t="str">
        <f t="shared" ca="1" si="131"/>
        <v>1+129.16213289002i</v>
      </c>
      <c r="L377" t="str">
        <f t="shared" ca="1" si="132"/>
        <v>1-35.5318259247938i</v>
      </c>
      <c r="M377" t="str">
        <f t="shared" ca="1" si="133"/>
        <v>1+41331.8825248065i</v>
      </c>
      <c r="N377" t="str">
        <f t="shared" si="134"/>
        <v>1+104.02004888362i</v>
      </c>
      <c r="O377">
        <f t="shared" ca="1" si="135"/>
        <v>30.873410267617786</v>
      </c>
      <c r="P377" t="str">
        <f t="shared" ca="1" si="150"/>
        <v>-0.0329536935426134-0.000989954157935295i</v>
      </c>
      <c r="Q377">
        <f t="shared" ca="1" si="145"/>
        <v>-29.638000515398947</v>
      </c>
      <c r="R377">
        <f t="shared" ca="1" si="151"/>
        <v>-178.27930844878395</v>
      </c>
      <c r="T377" t="str">
        <f t="shared" si="136"/>
        <v>1+1651.2i</v>
      </c>
      <c r="U377" t="str">
        <f t="shared" si="137"/>
        <v>1+96i</v>
      </c>
      <c r="V377" t="str">
        <f t="shared" si="138"/>
        <v>-0.000045421511627907i</v>
      </c>
      <c r="W377" t="str">
        <f t="shared" si="146"/>
        <v>7.66404848472615E-06-0.000781170166161617i</v>
      </c>
      <c r="X377">
        <f t="shared" si="147"/>
        <v>-62.144669014178376</v>
      </c>
      <c r="Y377">
        <f t="shared" si="148"/>
        <v>-89.437890023400286</v>
      </c>
      <c r="Z377">
        <f t="shared" si="149"/>
        <v>1527887.4536821954</v>
      </c>
      <c r="AA377">
        <f t="shared" ca="1" si="139"/>
        <v>-39.302182799157293</v>
      </c>
      <c r="AB377">
        <f t="shared" ca="1" si="140"/>
        <v>-0.72506190460482856</v>
      </c>
    </row>
    <row r="378" spans="1:28" x14ac:dyDescent="0.2">
      <c r="A378">
        <v>9700000</v>
      </c>
      <c r="B378" t="str">
        <f t="shared" si="141"/>
        <v>9700000i</v>
      </c>
      <c r="C378" t="str">
        <f t="shared" ca="1" si="127"/>
        <v>1+130.507571774291i</v>
      </c>
      <c r="D378" t="str">
        <f t="shared" ca="1" si="128"/>
        <v>1+68.515861330818i</v>
      </c>
      <c r="E378" t="str">
        <f t="shared" ca="1" si="129"/>
        <v>1+44336.4009115898i</v>
      </c>
      <c r="F378">
        <f t="shared" ca="1" si="130"/>
        <v>69.486139019499433</v>
      </c>
      <c r="G378" t="str">
        <f t="shared" ca="1" si="142"/>
        <v>0.311603042591714+14.0125192621663i</v>
      </c>
      <c r="H378">
        <f t="shared" ca="1" si="143"/>
        <v>22.932471530359582</v>
      </c>
      <c r="I378">
        <f t="shared" ca="1" si="144"/>
        <v>88.726096508913812</v>
      </c>
      <c r="K378" t="str">
        <f t="shared" ca="1" si="131"/>
        <v>1+130.507571774291i</v>
      </c>
      <c r="L378" t="str">
        <f t="shared" ca="1" si="132"/>
        <v>1-35.9019491115104i</v>
      </c>
      <c r="M378" t="str">
        <f t="shared" ca="1" si="133"/>
        <v>1+41762.4229677732i</v>
      </c>
      <c r="N378" t="str">
        <f t="shared" si="134"/>
        <v>1+105.103591059491i</v>
      </c>
      <c r="O378">
        <f t="shared" ca="1" si="135"/>
        <v>30.873410267617786</v>
      </c>
      <c r="P378" t="str">
        <f t="shared" ca="1" si="150"/>
        <v>-0.0329537417889814-0.00097974890048419i</v>
      </c>
      <c r="Q378">
        <f t="shared" ca="1" si="145"/>
        <v>-29.638068127967404</v>
      </c>
      <c r="R378">
        <f t="shared" ca="1" si="151"/>
        <v>-178.29703873758962</v>
      </c>
      <c r="T378" t="str">
        <f t="shared" si="136"/>
        <v>1+1668.4i</v>
      </c>
      <c r="U378" t="str">
        <f t="shared" si="137"/>
        <v>1+97i</v>
      </c>
      <c r="V378" t="str">
        <f t="shared" si="138"/>
        <v>-0.0000449532486214337i</v>
      </c>
      <c r="W378" t="str">
        <f t="shared" si="146"/>
        <v>7.50685811729234E-06-0.000773118485998791i</v>
      </c>
      <c r="X378">
        <f t="shared" si="147"/>
        <v>-62.234669406225642</v>
      </c>
      <c r="Y378">
        <f t="shared" si="148"/>
        <v>-89.443684533526351</v>
      </c>
      <c r="Z378">
        <f t="shared" si="149"/>
        <v>1543802.9479913849</v>
      </c>
      <c r="AA378">
        <f t="shared" ca="1" si="139"/>
        <v>-39.302197875866057</v>
      </c>
      <c r="AB378">
        <f t="shared" ca="1" si="140"/>
        <v>-0.71758802461253879</v>
      </c>
    </row>
    <row r="379" spans="1:28" x14ac:dyDescent="0.2">
      <c r="A379">
        <v>9800000</v>
      </c>
      <c r="B379" t="str">
        <f t="shared" si="141"/>
        <v>9800000i</v>
      </c>
      <c r="C379" t="str">
        <f t="shared" ca="1" si="127"/>
        <v>1+131.853010658562i</v>
      </c>
      <c r="D379" t="str">
        <f t="shared" ca="1" si="128"/>
        <v>1+69.2222104167027i</v>
      </c>
      <c r="E379" t="str">
        <f t="shared" ca="1" si="129"/>
        <v>1+44793.4772096475i</v>
      </c>
      <c r="F379">
        <f t="shared" ca="1" si="130"/>
        <v>69.486139019499433</v>
      </c>
      <c r="G379" t="str">
        <f t="shared" ca="1" si="142"/>
        <v>0.311603041877205+14.1570102289848i</v>
      </c>
      <c r="H379">
        <f t="shared" ca="1" si="143"/>
        <v>23.021534402138869</v>
      </c>
      <c r="I379">
        <f t="shared" ca="1" si="144"/>
        <v>88.7390941584529</v>
      </c>
      <c r="K379" t="str">
        <f t="shared" ca="1" si="131"/>
        <v>1+131.853010658562i</v>
      </c>
      <c r="L379" t="str">
        <f t="shared" ca="1" si="132"/>
        <v>1-36.272072298227i</v>
      </c>
      <c r="M379" t="str">
        <f t="shared" ca="1" si="133"/>
        <v>1+42192.96341074i</v>
      </c>
      <c r="N379" t="str">
        <f t="shared" si="134"/>
        <v>1+106.187133235362i</v>
      </c>
      <c r="O379">
        <f t="shared" ca="1" si="135"/>
        <v>30.873410267617786</v>
      </c>
      <c r="P379" t="str">
        <f t="shared" ca="1" si="150"/>
        <v>-0.0329537885661414-0.000969751899863368i</v>
      </c>
      <c r="Q379">
        <f t="shared" ca="1" si="145"/>
        <v>-29.63813368242592</v>
      </c>
      <c r="R379">
        <f t="shared" ca="1" si="151"/>
        <v>-178.31440744886373</v>
      </c>
      <c r="T379" t="str">
        <f t="shared" si="136"/>
        <v>1+1685.6i</v>
      </c>
      <c r="U379" t="str">
        <f t="shared" si="137"/>
        <v>1+98i</v>
      </c>
      <c r="V379" t="str">
        <f t="shared" si="138"/>
        <v>-0.0000444945420028477i</v>
      </c>
      <c r="W379" t="str">
        <f t="shared" si="146"/>
        <v>7.35445443870078E-06-0.000765231076995524i</v>
      </c>
      <c r="X379">
        <f t="shared" si="147"/>
        <v>-62.323746895608807</v>
      </c>
      <c r="Y379">
        <f t="shared" si="148"/>
        <v>-89.449360801548735</v>
      </c>
      <c r="Z379">
        <f t="shared" si="149"/>
        <v>1559718.4423005744</v>
      </c>
      <c r="AA379">
        <f t="shared" ca="1" si="139"/>
        <v>-39.302212493469938</v>
      </c>
      <c r="AB379">
        <f t="shared" ca="1" si="140"/>
        <v>-0.71026664309583509</v>
      </c>
    </row>
    <row r="380" spans="1:28" x14ac:dyDescent="0.2">
      <c r="A380">
        <v>9900000</v>
      </c>
      <c r="B380" t="str">
        <f t="shared" si="141"/>
        <v>9900000i</v>
      </c>
      <c r="C380" t="str">
        <f t="shared" ca="1" si="127"/>
        <v>1+133.198449542833i</v>
      </c>
      <c r="D380" t="str">
        <f t="shared" ca="1" si="128"/>
        <v>1+69.9285595025874i</v>
      </c>
      <c r="E380" t="str">
        <f t="shared" ca="1" si="129"/>
        <v>1+45250.5535077051i</v>
      </c>
      <c r="F380">
        <f t="shared" ca="1" si="130"/>
        <v>69.486139019499433</v>
      </c>
      <c r="G380" t="str">
        <f t="shared" ca="1" si="142"/>
        <v>0.311603041184239+14.3015008741748i</v>
      </c>
      <c r="H380">
        <f t="shared" ca="1" si="143"/>
        <v>23.109693545700047</v>
      </c>
      <c r="I380">
        <f t="shared" ca="1" si="144"/>
        <v>88.751829269966152</v>
      </c>
      <c r="K380" t="str">
        <f t="shared" ca="1" si="131"/>
        <v>1+133.198449542833i</v>
      </c>
      <c r="L380" t="str">
        <f t="shared" ca="1" si="132"/>
        <v>1-36.6421954849436i</v>
      </c>
      <c r="M380" t="str">
        <f t="shared" ca="1" si="133"/>
        <v>1+42623.5038537067i</v>
      </c>
      <c r="N380" t="str">
        <f t="shared" si="134"/>
        <v>1+107.270675411233i</v>
      </c>
      <c r="O380">
        <f t="shared" ca="1" si="135"/>
        <v>30.873410267617786</v>
      </c>
      <c r="P380" t="str">
        <f t="shared" ca="1" si="150"/>
        <v>-0.0329538339331461-0.000959956845806067i</v>
      </c>
      <c r="Q380">
        <f t="shared" ca="1" si="145"/>
        <v>-29.638197261455343</v>
      </c>
      <c r="R380">
        <f t="shared" ca="1" si="151"/>
        <v>-178.3314255289599</v>
      </c>
      <c r="T380" t="str">
        <f t="shared" si="136"/>
        <v>1+1702.8i</v>
      </c>
      <c r="U380" t="str">
        <f t="shared" si="137"/>
        <v>1+99i</v>
      </c>
      <c r="V380" t="str">
        <f t="shared" si="138"/>
        <v>-0.0000440451021846371i</v>
      </c>
      <c r="W380" t="str">
        <f t="shared" si="146"/>
        <v>7.20664506057142E-06-0.000757502963181207i</v>
      </c>
      <c r="X380">
        <f t="shared" si="147"/>
        <v>-62.411920216121317</v>
      </c>
      <c r="Y380">
        <f t="shared" si="148"/>
        <v>-89.454922410036062</v>
      </c>
      <c r="Z380">
        <f t="shared" si="149"/>
        <v>1575633.9366097639</v>
      </c>
      <c r="AA380">
        <f t="shared" ca="1" si="139"/>
        <v>-39.30222667042127</v>
      </c>
      <c r="AB380">
        <f t="shared" ca="1" si="140"/>
        <v>-0.70309314006991031</v>
      </c>
    </row>
    <row r="381" spans="1:28" x14ac:dyDescent="0.2">
      <c r="A381">
        <v>10000000</v>
      </c>
      <c r="B381" t="str">
        <f t="shared" si="141"/>
        <v>10000000i</v>
      </c>
      <c r="C381" t="str">
        <f t="shared" ca="1" si="127"/>
        <v>1+134.543888427104i</v>
      </c>
      <c r="D381" t="str">
        <f t="shared" ca="1" si="128"/>
        <v>1+70.6349085884721i</v>
      </c>
      <c r="E381" t="str">
        <f t="shared" ca="1" si="129"/>
        <v>1+45707.6298057627i</v>
      </c>
      <c r="F381">
        <f t="shared" ca="1" si="130"/>
        <v>69.486139019499433</v>
      </c>
      <c r="G381" t="str">
        <f t="shared" ca="1" si="142"/>
        <v>0.311603040511957+14.4459912073852i</v>
      </c>
      <c r="H381">
        <f t="shared" ca="1" si="143"/>
        <v>23.196967112675722</v>
      </c>
      <c r="I381">
        <f t="shared" ca="1" si="144"/>
        <v>88.764309717988965</v>
      </c>
      <c r="K381" t="str">
        <f t="shared" ca="1" si="131"/>
        <v>1+134.543888427104i</v>
      </c>
      <c r="L381" t="str">
        <f t="shared" ca="1" si="132"/>
        <v>1-37.0123186716602i</v>
      </c>
      <c r="M381" t="str">
        <f t="shared" ca="1" si="133"/>
        <v>1+43054.0442966734i</v>
      </c>
      <c r="N381" t="str">
        <f t="shared" si="134"/>
        <v>1+108.354217587104i</v>
      </c>
      <c r="O381">
        <f t="shared" ca="1" si="135"/>
        <v>30.873410267617786</v>
      </c>
      <c r="P381" t="str">
        <f t="shared" ca="1" si="150"/>
        <v>-0.0329538779461105-0.000950357680429301i</v>
      </c>
      <c r="Q381">
        <f t="shared" ca="1" si="145"/>
        <v>-29.638258943626532</v>
      </c>
      <c r="R381">
        <f t="shared" ca="1" si="151"/>
        <v>-178.34810348689632</v>
      </c>
      <c r="T381" t="str">
        <f t="shared" si="136"/>
        <v>1+1720i</v>
      </c>
      <c r="U381" t="str">
        <f t="shared" si="137"/>
        <v>1+100i</v>
      </c>
      <c r="V381" t="str">
        <f t="shared" si="138"/>
        <v>-0.0000436046511627907i</v>
      </c>
      <c r="W381" t="str">
        <f t="shared" si="146"/>
        <v>7.06324716365573E-06-0.000749929367528363i</v>
      </c>
      <c r="X381">
        <f t="shared" si="147"/>
        <v>-62.499207536930271</v>
      </c>
      <c r="Y381">
        <f t="shared" si="148"/>
        <v>-89.460372798280119</v>
      </c>
      <c r="Z381">
        <f t="shared" si="149"/>
        <v>1591549.4309189534</v>
      </c>
      <c r="AA381">
        <f t="shared" ca="1" si="139"/>
        <v>-39.302240424254549</v>
      </c>
      <c r="AB381">
        <f t="shared" ca="1" si="140"/>
        <v>-0.69606308029115382</v>
      </c>
    </row>
  </sheetData>
  <sheetProtection algorithmName="SHA-512" hashValue="yRqHr+3x8CQmmt/5DWA0tGf1mYxpN672dSvVapNx62i95eEhfPnfDxRWGGnin+xcBkYWx0pacjW6f5J+7ejxeg==" saltValue="ewocw/cId2CnoKVH+XoJrg==" spinCount="100000" sheet="1" objects="1" scenarios="1" selectLockedCells="1" selectUnlockedCell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EC4DA-FABE-4A52-BC1C-959ED77A120D}">
  <dimension ref="B3:D4"/>
  <sheetViews>
    <sheetView workbookViewId="0">
      <selection activeCell="C12" sqref="C12"/>
    </sheetView>
  </sheetViews>
  <sheetFormatPr baseColWidth="10" defaultColWidth="8.83203125" defaultRowHeight="15" x14ac:dyDescent="0.2"/>
  <cols>
    <col min="2" max="2" width="11" bestFit="1" customWidth="1"/>
    <col min="3" max="3" width="54.83203125" style="5" customWidth="1"/>
  </cols>
  <sheetData>
    <row r="3" spans="2:4" ht="20" x14ac:dyDescent="0.25">
      <c r="B3" s="20" t="s">
        <v>390</v>
      </c>
      <c r="C3" s="21" t="s">
        <v>391</v>
      </c>
      <c r="D3" s="20" t="s">
        <v>392</v>
      </c>
    </row>
    <row r="4" spans="2:4" ht="16" x14ac:dyDescent="0.2">
      <c r="B4" t="s">
        <v>393</v>
      </c>
      <c r="C4" s="5" t="s">
        <v>394</v>
      </c>
      <c r="D4" s="22">
        <v>45266</v>
      </c>
    </row>
  </sheetData>
  <sheetProtection algorithmName="SHA-512" hashValue="AhT+lxO5YxeWV0MB1bzD66YZ7mJYvNXaVm3gFomzhSN7Eyl5rGbxsT996tvXSCuDpm4+BBedfnhOfCwquPT1Gg==" saltValue="5JSobB/7GGPbhvHTS6OFs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2753F-A4C4-4856-8AB4-F6962D32451D}">
  <sheetPr>
    <tabColor rgb="FFFF0000"/>
  </sheetPr>
  <dimension ref="B3:B16"/>
  <sheetViews>
    <sheetView workbookViewId="0">
      <selection activeCell="D11" sqref="D11"/>
    </sheetView>
  </sheetViews>
  <sheetFormatPr baseColWidth="10" defaultColWidth="8.83203125" defaultRowHeight="15" x14ac:dyDescent="0.2"/>
  <cols>
    <col min="2" max="2" width="133.33203125" style="5" customWidth="1"/>
  </cols>
  <sheetData>
    <row r="3" spans="2:2" ht="22" thickBot="1" x14ac:dyDescent="0.25">
      <c r="B3" s="28" t="s">
        <v>395</v>
      </c>
    </row>
    <row r="4" spans="2:2" ht="16" thickTop="1" x14ac:dyDescent="0.2"/>
    <row r="6" spans="2:2" ht="56" x14ac:dyDescent="0.2">
      <c r="B6" s="29" t="s">
        <v>396</v>
      </c>
    </row>
    <row r="7" spans="2:2" x14ac:dyDescent="0.2">
      <c r="B7" s="29"/>
    </row>
    <row r="8" spans="2:2" ht="42" x14ac:dyDescent="0.2">
      <c r="B8" s="29" t="s">
        <v>397</v>
      </c>
    </row>
    <row r="9" spans="2:2" x14ac:dyDescent="0.2">
      <c r="B9" s="29"/>
    </row>
    <row r="10" spans="2:2" ht="56" x14ac:dyDescent="0.2">
      <c r="B10" s="29" t="s">
        <v>398</v>
      </c>
    </row>
    <row r="11" spans="2:2" x14ac:dyDescent="0.2">
      <c r="B11" s="29"/>
    </row>
    <row r="12" spans="2:2" ht="30" x14ac:dyDescent="0.2">
      <c r="B12" s="30" t="s">
        <v>399</v>
      </c>
    </row>
    <row r="13" spans="2:2" x14ac:dyDescent="0.2">
      <c r="B13" s="30"/>
    </row>
    <row r="14" spans="2:2" x14ac:dyDescent="0.2">
      <c r="B14" s="29" t="s">
        <v>400</v>
      </c>
    </row>
    <row r="16" spans="2:2" x14ac:dyDescent="0.2">
      <c r="B16" s="31"/>
    </row>
  </sheetData>
  <sheetProtection algorithmName="SHA-512" hashValue="X/cJ9BRPJTONfAQz6D+STSaTnEqFi8sdbCgmjHX8HipoJRUKH6T+vdiP+eQiJeKC2YboOEIxMWip7zDs+cOSYA==" saltValue="S0rv3Ubn/nn52QYPt/CFPA==" spinCount="100000" sheet="1" objects="1" scenarios="1" selectLockedCells="1" selectUnlockedCells="1"/>
  <hyperlinks>
    <hyperlink ref="B12" r:id="rId1" display="https://www.ti.com/legal/terms-conditions/terms-of-sale.html" xr:uid="{7A011FD2-17B4-466A-A671-177794E6BC0B}"/>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64864E9355147469751AB597C2A95D6" ma:contentTypeVersion="1" ma:contentTypeDescription="Create a new document." ma:contentTypeScope="" ma:versionID="1496e3e235ba980e2172ef8a2976e1c2">
  <xsd:schema xmlns:xsd="http://www.w3.org/2001/XMLSchema" xmlns:xs="http://www.w3.org/2001/XMLSchema" xmlns:p="http://schemas.microsoft.com/office/2006/metadata/properties" xmlns:ns2="72d2ce5a-7ad6-49a7-8fa5-8befc56c681c" targetNamespace="http://schemas.microsoft.com/office/2006/metadata/properties" ma:root="true" ma:fieldsID="884e320e19264b04ef27a4dae7b7375b" ns2:_="">
    <xsd:import namespace="72d2ce5a-7ad6-49a7-8fa5-8befc56c681c"/>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d2ce5a-7ad6-49a7-8fa5-8befc56c681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DEEBF40-D3FC-496E-82A0-C6CE08BAF51F}">
  <ds:schemaRefs>
    <ds:schemaRef ds:uri="http://www.w3.org/XML/1998/namespace"/>
    <ds:schemaRef ds:uri="http://purl.org/dc/dcmitype/"/>
    <ds:schemaRef ds:uri="http://purl.org/dc/elements/1.1/"/>
    <ds:schemaRef ds:uri="http://schemas.microsoft.com/office/infopath/2007/PartnerControls"/>
    <ds:schemaRef ds:uri="http://schemas.microsoft.com/office/2006/documentManagement/types"/>
    <ds:schemaRef ds:uri="http://purl.org/dc/terms/"/>
    <ds:schemaRef ds:uri="72d2ce5a-7ad6-49a7-8fa5-8befc56c681c"/>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1906EEBC-CAE4-45EB-8BBE-87542A7A0E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d2ce5a-7ad6-49a7-8fa5-8befc56c68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CC37B9C-8FC9-42A5-8FA0-BFC3571BF0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232</vt:i4>
      </vt:variant>
    </vt:vector>
  </HeadingPairs>
  <TitlesOfParts>
    <vt:vector size="239" baseType="lpstr">
      <vt:lpstr>Start</vt:lpstr>
      <vt:lpstr>Constants</vt:lpstr>
      <vt:lpstr>Options</vt:lpstr>
      <vt:lpstr>Calculations</vt:lpstr>
      <vt:lpstr>Loop Gain</vt:lpstr>
      <vt:lpstr>Revision Log</vt:lpstr>
      <vt:lpstr>Important Notice and Disclaimer</vt:lpstr>
      <vt:lpstr>atto</vt:lpstr>
      <vt:lpstr>BodeCa</vt:lpstr>
      <vt:lpstr>BodeCb</vt:lpstr>
      <vt:lpstr>BodeCTR</vt:lpstr>
      <vt:lpstr>BodeD</vt:lpstr>
      <vt:lpstr>BodeESR</vt:lpstr>
      <vt:lpstr>BodeFsw</vt:lpstr>
      <vt:lpstr>BodeGFb</vt:lpstr>
      <vt:lpstr>BodeM</vt:lpstr>
      <vt:lpstr>BodeN</vt:lpstr>
      <vt:lpstr>BodeR</vt:lpstr>
      <vt:lpstr>BodeRa</vt:lpstr>
      <vt:lpstr>BodeRb</vt:lpstr>
      <vt:lpstr>BodeRc3</vt:lpstr>
      <vt:lpstr>BodeRFb</vt:lpstr>
      <vt:lpstr>BodeSe</vt:lpstr>
      <vt:lpstr>BodeSn</vt:lpstr>
      <vt:lpstr>BodeTauL</vt:lpstr>
      <vt:lpstr>CalcBi</vt:lpstr>
      <vt:lpstr>CalcBiFromUsrBo</vt:lpstr>
      <vt:lpstr>CalcBo</vt:lpstr>
      <vt:lpstr>CalcBoRTop</vt:lpstr>
      <vt:lpstr>CalcCoutTrans</vt:lpstr>
      <vt:lpstr>CalcDutyMax</vt:lpstr>
      <vt:lpstr>CalcEstPin</vt:lpstr>
      <vt:lpstr>CalcIMean</vt:lpstr>
      <vt:lpstr>CalcIPk</vt:lpstr>
      <vt:lpstr>CalcIRms</vt:lpstr>
      <vt:lpstr>CalcLm</vt:lpstr>
      <vt:lpstr>CalcMosLeakLeft</vt:lpstr>
      <vt:lpstr>CalcNPS</vt:lpstr>
      <vt:lpstr>CalcNS</vt:lpstr>
      <vt:lpstr>CalcOffRamp</vt:lpstr>
      <vt:lpstr>CalcPo</vt:lpstr>
      <vt:lpstr>CalcPout</vt:lpstr>
      <vt:lpstr>CalcRawLm</vt:lpstr>
      <vt:lpstr>CalcRCs</vt:lpstr>
      <vt:lpstr>CalcRCsSlopeComp</vt:lpstr>
      <vt:lpstr>CalcRecInputBulkCap</vt:lpstr>
      <vt:lpstr>CalcRhpZeroDiv5</vt:lpstr>
      <vt:lpstr>CalcRSlope</vt:lpstr>
      <vt:lpstr>CalcRslopeFixedRcs</vt:lpstr>
      <vt:lpstr>CalcRStart</vt:lpstr>
      <vt:lpstr>CalcSOff</vt:lpstr>
      <vt:lpstr>CalcSSVdd</vt:lpstr>
      <vt:lpstr>CalcTDecayVoutOvershoot</vt:lpstr>
      <vt:lpstr>CalcTsdRecoveryTemp</vt:lpstr>
      <vt:lpstr>CalcTsdTemp</vt:lpstr>
      <vt:lpstr>CalcTVoutRise</vt:lpstr>
      <vt:lpstr>CalcUserDutyMax</vt:lpstr>
      <vt:lpstr>CalcUsrDutyMax</vt:lpstr>
      <vt:lpstr>CalcUsrLm</vt:lpstr>
      <vt:lpstr>CalcUsrPo</vt:lpstr>
      <vt:lpstr>CalcVoutOvershoot</vt:lpstr>
      <vt:lpstr>CalcVoVF</vt:lpstr>
      <vt:lpstr>CcmGo</vt:lpstr>
      <vt:lpstr>CcmWp1</vt:lpstr>
      <vt:lpstr>CcmWz1</vt:lpstr>
      <vt:lpstr>CcmWz2</vt:lpstr>
      <vt:lpstr>CompA</vt:lpstr>
      <vt:lpstr>CompWp1</vt:lpstr>
      <vt:lpstr>CompWz1</vt:lpstr>
      <vt:lpstr>CompZ1</vt:lpstr>
      <vt:lpstr>ConvUsrBoRBot</vt:lpstr>
      <vt:lpstr>ConvUsrBoRTop</vt:lpstr>
      <vt:lpstr>ConvUsrRCs</vt:lpstr>
      <vt:lpstr>ConvUsrRSlope</vt:lpstr>
      <vt:lpstr>CrossoverFreq</vt:lpstr>
      <vt:lpstr>CsMargin</vt:lpstr>
      <vt:lpstr>CsMax</vt:lpstr>
      <vt:lpstr>CurrConstraint</vt:lpstr>
      <vt:lpstr>CurrConstraintMargin</vt:lpstr>
      <vt:lpstr>DCcm</vt:lpstr>
      <vt:lpstr>DcmGo</vt:lpstr>
      <vt:lpstr>DcmWp1</vt:lpstr>
      <vt:lpstr>DcmWp2</vt:lpstr>
      <vt:lpstr>DcmWz1</vt:lpstr>
      <vt:lpstr>DcmWz2</vt:lpstr>
      <vt:lpstr>DDcm</vt:lpstr>
      <vt:lpstr>DeviceVerSum</vt:lpstr>
      <vt:lpstr>DutyMax</vt:lpstr>
      <vt:lpstr>Exa</vt:lpstr>
      <vt:lpstr>FaultResponse</vt:lpstr>
      <vt:lpstr>femto</vt:lpstr>
      <vt:lpstr>FltOption</vt:lpstr>
      <vt:lpstr>FSw</vt:lpstr>
      <vt:lpstr>Giga</vt:lpstr>
      <vt:lpstr>IBo</vt:lpstr>
      <vt:lpstr>Idis</vt:lpstr>
      <vt:lpstr>IFault</vt:lpstr>
      <vt:lpstr>INtc</vt:lpstr>
      <vt:lpstr>IOff</vt:lpstr>
      <vt:lpstr>Ion</vt:lpstr>
      <vt:lpstr>IPk</vt:lpstr>
      <vt:lpstr>IRamp</vt:lpstr>
      <vt:lpstr>IsDcmBode</vt:lpstr>
      <vt:lpstr>IsDcmFullLoad</vt:lpstr>
      <vt:lpstr>ISlope</vt:lpstr>
      <vt:lpstr>IStart</vt:lpstr>
      <vt:lpstr>kilo</vt:lpstr>
      <vt:lpstr>Mega</vt:lpstr>
      <vt:lpstr>MesRCs</vt:lpstr>
      <vt:lpstr>MesRSlope</vt:lpstr>
      <vt:lpstr>micro</vt:lpstr>
      <vt:lpstr>milli</vt:lpstr>
      <vt:lpstr>MsgCrossoverFreq</vt:lpstr>
      <vt:lpstr>MsgCVDD2</vt:lpstr>
      <vt:lpstr>MsgLkgLeft</vt:lpstr>
      <vt:lpstr>MsgNPS</vt:lpstr>
      <vt:lpstr>MsgNs</vt:lpstr>
      <vt:lpstr>MsgNSA</vt:lpstr>
      <vt:lpstr>MsgNSAVdd</vt:lpstr>
      <vt:lpstr>MsgPhaseMargin</vt:lpstr>
      <vt:lpstr>MsgUsrRCs</vt:lpstr>
      <vt:lpstr>nano</vt:lpstr>
      <vt:lpstr>Np</vt:lpstr>
      <vt:lpstr>OptBodeCap</vt:lpstr>
      <vt:lpstr>OptBoRTop</vt:lpstr>
      <vt:lpstr>OptNtc</vt:lpstr>
      <vt:lpstr>OptoCathodeI</vt:lpstr>
      <vt:lpstr>OptRCs</vt:lpstr>
      <vt:lpstr>OptRSlope</vt:lpstr>
      <vt:lpstr>Peta</vt:lpstr>
      <vt:lpstr>PhaseMargin</vt:lpstr>
      <vt:lpstr>pico</vt:lpstr>
      <vt:lpstr>PrettyBodeRa</vt:lpstr>
      <vt:lpstr>PrettyBodeRb</vt:lpstr>
      <vt:lpstr>PrettyBoRTop</vt:lpstr>
      <vt:lpstr>PrettyIMean</vt:lpstr>
      <vt:lpstr>PrettyInputBulkCap</vt:lpstr>
      <vt:lpstr>PrettyIPk</vt:lpstr>
      <vt:lpstr>PrettyLm</vt:lpstr>
      <vt:lpstr>PrettyMosLeakLeft</vt:lpstr>
      <vt:lpstr>PrettyPin</vt:lpstr>
      <vt:lpstr>PrettyPo</vt:lpstr>
      <vt:lpstr>PrettyRCs</vt:lpstr>
      <vt:lpstr>PrettyROpto</vt:lpstr>
      <vt:lpstr>PrettyRSlope</vt:lpstr>
      <vt:lpstr>PrettyRStart</vt:lpstr>
      <vt:lpstr>PrettyUnitBodeRa</vt:lpstr>
      <vt:lpstr>PrettyUnitBodeRb</vt:lpstr>
      <vt:lpstr>PrettyUnitBoRTop</vt:lpstr>
      <vt:lpstr>PrettyUnitInputBulkCap</vt:lpstr>
      <vt:lpstr>PrettyUnitIPk</vt:lpstr>
      <vt:lpstr>PrettyUnitIRms</vt:lpstr>
      <vt:lpstr>PrettyUnitLm</vt:lpstr>
      <vt:lpstr>PrettyUnitPo</vt:lpstr>
      <vt:lpstr>PrettyUnitRCs</vt:lpstr>
      <vt:lpstr>PrettyUnitROpto</vt:lpstr>
      <vt:lpstr>PrettyUnitRSlope</vt:lpstr>
      <vt:lpstr>PrettyUnitRStart</vt:lpstr>
      <vt:lpstr>PrettyUnitUsrLm</vt:lpstr>
      <vt:lpstr>PrettyUnitUsrVCs</vt:lpstr>
      <vt:lpstr>PrettyUnitVCs</vt:lpstr>
      <vt:lpstr>PrettyUsrLm</vt:lpstr>
      <vt:lpstr>PrettyUsrVCs</vt:lpstr>
      <vt:lpstr>PrettyVCs</vt:lpstr>
      <vt:lpstr>ResCout</vt:lpstr>
      <vt:lpstr>ResCVDD1</vt:lpstr>
      <vt:lpstr>ResLm</vt:lpstr>
      <vt:lpstr>ResRSlope</vt:lpstr>
      <vt:lpstr>ResRStartMin</vt:lpstr>
      <vt:lpstr>ResUsrVCs</vt:lpstr>
      <vt:lpstr>ResVCs</vt:lpstr>
      <vt:lpstr>ResVoDiodeBlock</vt:lpstr>
      <vt:lpstr>RFb</vt:lpstr>
      <vt:lpstr>SelBodeIntCap</vt:lpstr>
      <vt:lpstr>SelBodeOptoCap</vt:lpstr>
      <vt:lpstr>SelBoRBot</vt:lpstr>
      <vt:lpstr>SelBoRTop</vt:lpstr>
      <vt:lpstr>SelDevice</vt:lpstr>
      <vt:lpstr>SelFLT</vt:lpstr>
      <vt:lpstr>SelFreq</vt:lpstr>
      <vt:lpstr>SelRCs</vt:lpstr>
      <vt:lpstr>SelRNtc</vt:lpstr>
      <vt:lpstr>SelRSlope</vt:lpstr>
      <vt:lpstr>SelVinType</vt:lpstr>
      <vt:lpstr>SwFreq</vt:lpstr>
      <vt:lpstr>Tera</vt:lpstr>
      <vt:lpstr>Tl431I</vt:lpstr>
      <vt:lpstr>Tl431Ref</vt:lpstr>
      <vt:lpstr>Tsw</vt:lpstr>
      <vt:lpstr>UnitBoRTop</vt:lpstr>
      <vt:lpstr>UnitExpo</vt:lpstr>
      <vt:lpstr>UnitSymbolExa</vt:lpstr>
      <vt:lpstr>UsedDutyMax</vt:lpstr>
      <vt:lpstr>UsedLm</vt:lpstr>
      <vt:lpstr>UsedNS</vt:lpstr>
      <vt:lpstr>UsedRNtcRef</vt:lpstr>
      <vt:lpstr>UsrBo</vt:lpstr>
      <vt:lpstr>UsrBodeVin</vt:lpstr>
      <vt:lpstr>UsrBoRBot</vt:lpstr>
      <vt:lpstr>UsrBoRTop</vt:lpstr>
      <vt:lpstr>UsrDutyMax</vt:lpstr>
      <vt:lpstr>UsrEstEff</vt:lpstr>
      <vt:lpstr>UsrIntCap</vt:lpstr>
      <vt:lpstr>UsrIout</vt:lpstr>
      <vt:lpstr>UsrLineFMin</vt:lpstr>
      <vt:lpstr>UsrMaxDuty</vt:lpstr>
      <vt:lpstr>UsrMosDerating</vt:lpstr>
      <vt:lpstr>UsrMosVds</vt:lpstr>
      <vt:lpstr>UsrNPS</vt:lpstr>
      <vt:lpstr>UsrNSA</vt:lpstr>
      <vt:lpstr>UsrOptoCTR</vt:lpstr>
      <vt:lpstr>UsrOptoLed</vt:lpstr>
      <vt:lpstr>UsrOptoParaCap</vt:lpstr>
      <vt:lpstr>UsrPoCcm</vt:lpstr>
      <vt:lpstr>UsrRCs</vt:lpstr>
      <vt:lpstr>UsrRNtcBeta</vt:lpstr>
      <vt:lpstr>UsrRNtcRef</vt:lpstr>
      <vt:lpstr>UsrRNtcTref</vt:lpstr>
      <vt:lpstr>UsrRSlope</vt:lpstr>
      <vt:lpstr>UsrTimeTurnOn</vt:lpstr>
      <vt:lpstr>UsrTotalESR</vt:lpstr>
      <vt:lpstr>UsrUsingDisable</vt:lpstr>
      <vt:lpstr>UsrVF</vt:lpstr>
      <vt:lpstr>UsrVinMax</vt:lpstr>
      <vt:lpstr>UsrVinMin</vt:lpstr>
      <vt:lpstr>UsrVinMinBulk</vt:lpstr>
      <vt:lpstr>UsrVinNom</vt:lpstr>
      <vt:lpstr>UsrVout</vt:lpstr>
      <vt:lpstr>UsrVoutRipple</vt:lpstr>
      <vt:lpstr>UsrVTransDrop</vt:lpstr>
      <vt:lpstr>VBi</vt:lpstr>
      <vt:lpstr>VBo</vt:lpstr>
      <vt:lpstr>VddOvlo</vt:lpstr>
      <vt:lpstr>VinMin</vt:lpstr>
      <vt:lpstr>VinType</vt:lpstr>
      <vt:lpstr>VTsd</vt:lpstr>
      <vt:lpstr>VUvloOff</vt:lpstr>
      <vt:lpstr>VUvloOn</vt:lpstr>
      <vt:lpstr>zepto</vt:lpstr>
    </vt:vector>
  </TitlesOfParts>
  <Company>Texas Instruments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Khudaverdyan, Davit</dc:creator>
  <cp:lastModifiedBy>Cummings, John</cp:lastModifiedBy>
  <dcterms:created xsi:type="dcterms:W3CDTF">2023-09-29T19:52:13Z</dcterms:created>
  <dcterms:modified xsi:type="dcterms:W3CDTF">2025-04-30T14:34:19Z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0x010100164864E9355147469751AB597C2A95D6</vt:lpwstr>
  </property>
</Properties>
</file>