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workbookProtection workbookPassword="ECDD" lockStructure="1"/>
  <bookViews>
    <workbookView xWindow="0" yWindow="0" windowWidth="20490" windowHeight="7485" tabRatio="806" activeTab="2"/>
  </bookViews>
  <sheets>
    <sheet name="Instructions" sheetId="2" r:id="rId1"/>
    <sheet name="Functional Schematic" sheetId="7" r:id="rId2"/>
    <sheet name="Design Information" sheetId="1" r:id="rId3"/>
    <sheet name="Figure of T1 Current" sheetId="8" r:id="rId4"/>
    <sheet name="TABSET Valley Switching" sheetId="9" r:id="rId5"/>
    <sheet name="TCDSET Valley Switching" sheetId="10" r:id="rId6"/>
    <sheet name="Voltage Loop" sheetId="6" state="hidden" r:id="rId7"/>
    <sheet name="Standard R and C Look Up Table" sheetId="3" state="hidden" r:id="rId8"/>
  </sheets>
  <externalReferences>
    <externalReference r:id="rId9"/>
  </externalReferences>
  <definedNames>
    <definedName name="_imp2">'Design Information'!$C$40</definedName>
    <definedName name="_ims2">'Design Information'!$C$32</definedName>
    <definedName name="_ipp1">'Design Information'!$C$112</definedName>
    <definedName name="_st1">'Design Information'!#REF!</definedName>
    <definedName name="_st10">'Standard R and C Look Up Table'!#REF!</definedName>
    <definedName name="_st11">'Standard R and C Look Up Table'!#REF!</definedName>
    <definedName name="_st12">'Standard R and C Look Up Table'!#REF!</definedName>
    <definedName name="_st13">'Standard R and C Look Up Table'!#REF!</definedName>
    <definedName name="_st14">'Standard R and C Look Up Table'!#REF!</definedName>
    <definedName name="_st15">'Standard R and C Look Up Table'!#REF!</definedName>
    <definedName name="_st16">'Standard R and C Look Up Table'!#REF!</definedName>
    <definedName name="_st17">'Standard R and C Look Up Table'!#REF!</definedName>
    <definedName name="_st18">'Standard R and C Look Up Table'!#REF!</definedName>
    <definedName name="_st2">'Design Information'!#REF!</definedName>
    <definedName name="_st3">'Standard R and C Look Up Table'!#REF!</definedName>
    <definedName name="_st4">'Standard R and C Look Up Table'!#REF!</definedName>
    <definedName name="_st5">'Standard R and C Look Up Table'!#REF!</definedName>
    <definedName name="_st6">'Standard R and C Look Up Table'!#REF!</definedName>
    <definedName name="_st7">'Standard R and C Look Up Table'!#REF!</definedName>
    <definedName name="_st8">'Standard R and C Look Up Table'!#REF!</definedName>
    <definedName name="_st9">'Standard R and C Look Up Table'!#REF!</definedName>
    <definedName name="_std2">'Design Information'!#REF!</definedName>
    <definedName name="_ta1">'Design Information'!$C$25</definedName>
    <definedName name="_ta11">'Design Information'!$C$25</definedName>
    <definedName name="_ta2">'Design Information'!$C$111</definedName>
    <definedName name="_taa1">'Design Information'!$C$26</definedName>
    <definedName name="_va1">'Design Information'!$C$120</definedName>
    <definedName name="C_enter">'Standard R and C Look Up Table'!$K$2</definedName>
    <definedName name="C_f1">'Standard R and C Look Up Table'!$K$17</definedName>
    <definedName name="C_f2">'Standard R and C Look Up Table'!$K$24</definedName>
    <definedName name="c_s1">'Standard R and C Look Up Table'!$J$6</definedName>
    <definedName name="C_s2">'Standard R and C Look Up Table'!$J$19</definedName>
    <definedName name="Center">'Standard R and C Look Up Table'!$K$2</definedName>
    <definedName name="constant">'Design Information'!$C$132</definedName>
    <definedName name="cossqaavg">'Design Information'!$C$56</definedName>
    <definedName name="cossqaspec">'Design Information'!$C$53</definedName>
    <definedName name="cossqeavg">'Design Information'!$C$90</definedName>
    <definedName name="cout">'Design Information'!$C$80</definedName>
    <definedName name="Cp">'Design Information'!$C$151</definedName>
    <definedName name="CPC">'[1]Design Information'!$C$87</definedName>
    <definedName name="Cstandard">'Standard R and C Look Up Table'!$K$3</definedName>
    <definedName name="Cz">'Design Information'!$C$146</definedName>
    <definedName name="CZC">'[1]Design Information'!$C$85</definedName>
    <definedName name="d2a">'Design Information'!$C$135</definedName>
    <definedName name="dclamp">'Design Information'!$C$102</definedName>
    <definedName name="dcrlout">'Design Information'!$C$69</definedName>
    <definedName name="dcrp">'Design Information'!$C$45</definedName>
    <definedName name="dcrs">'Design Information'!$C$46</definedName>
    <definedName name="dilmag">'Design Information'!$C$37</definedName>
    <definedName name="dilout">'Design Information'!$C$28</definedName>
    <definedName name="dmax">'Design Information'!$C$24</definedName>
    <definedName name="dtyp">'Design Information'!$C$27</definedName>
    <definedName name="E12_f">'Standard R and C Look Up Table'!$F$21</definedName>
    <definedName name="E12_s">'Standard R and C Look Up Table'!$E$10</definedName>
    <definedName name="E24_f">'Standard R and C Look Up Table'!$F$46</definedName>
    <definedName name="E24_s">'Standard R and C Look Up Table'!$E$23</definedName>
    <definedName name="E48_f">'Standard R and C Look Up Table'!$F$95</definedName>
    <definedName name="E48_s">'Standard R and C Look Up Table'!$E$48</definedName>
    <definedName name="E6_f">'Standard R and C Look Up Table'!$F$8</definedName>
    <definedName name="E6_s">'Standard R and C Look Up Table'!$E$3</definedName>
    <definedName name="E96_f">'Standard R and C Look Up Table'!$H$98</definedName>
    <definedName name="E96_s">'Standard R and C Look Up Table'!$G$3</definedName>
    <definedName name="Eff">'Design Information'!$B$17</definedName>
    <definedName name="esrcout">'Design Information'!$C$81</definedName>
    <definedName name="fc">'Design Information'!$C$130</definedName>
    <definedName name="fpp">'Design Information'!$C$129</definedName>
    <definedName name="fs">'Design Information'!$C$18</definedName>
    <definedName name="iloutrms">'Design Information'!$C$67</definedName>
    <definedName name="imp">'Design Information'!$C$39</definedName>
    <definedName name="ims">'Design Information'!$C$31</definedName>
    <definedName name="ipp">'Design Information'!$C$38</definedName>
    <definedName name="iprms">'Design Information'!$C$43</definedName>
    <definedName name="iprms1">'Design Information'!$C$41</definedName>
    <definedName name="iprms2">'Design Information'!$C$42</definedName>
    <definedName name="ips">'Design Information'!$C$30</definedName>
    <definedName name="isrms">'Design Information'!$C$36</definedName>
    <definedName name="isrms1">'Design Information'!$C$33</definedName>
    <definedName name="isrms2">'Design Information'!$C$34</definedName>
    <definedName name="isrms3">'Design Information'!$C$35</definedName>
    <definedName name="LAVG">'[1]Design Information'!$C$29</definedName>
    <definedName name="llk">'Design Information'!$C$47</definedName>
    <definedName name="lmag">'Design Information'!$C$29</definedName>
    <definedName name="lmag1">'Design Information'!$C$29</definedName>
    <definedName name="lmag2">'Design Information'!$C$44</definedName>
    <definedName name="lout">'Design Information'!$C$68</definedName>
    <definedName name="ls">'Design Information'!$C$61</definedName>
    <definedName name="n1divd1">'Design Information'!$C$134</definedName>
    <definedName name="NCT">'[1]Design Information'!$C$40</definedName>
    <definedName name="pbudget">'Design Information'!$C$22</definedName>
    <definedName name="pout">'Design Information'!$D$16</definedName>
    <definedName name="QAg">'Design Information'!$C$54</definedName>
    <definedName name="qeg">'Design Information'!$C$86</definedName>
    <definedName name="rdsonqa">'Design Information'!$C$52</definedName>
    <definedName name="rdsonqe">'Design Information'!$C$87</definedName>
    <definedName name="rf">'Design Information'!$C$141</definedName>
    <definedName name="RII">'Design Information'!$C$128</definedName>
    <definedName name="rload">'Design Information'!$C$131</definedName>
    <definedName name="RS">'Design Information'!$C$115</definedName>
    <definedName name="RZC">'[1]Design Information'!$C$83</definedName>
    <definedName name="sta">'Standard R and C Look Up Table'!$L$6</definedName>
    <definedName name="stb">'Standard R and C Look Up Table'!$L$19</definedName>
    <definedName name="std">'Design Information'!#REF!</definedName>
    <definedName name="tabset">'Design Information'!$C$182</definedName>
    <definedName name="tafset">'Design Information'!$C$200</definedName>
    <definedName name="tcdset">'Design Information'!$C$194</definedName>
    <definedName name="tdelay">'Design Information'!$C$100</definedName>
    <definedName name="temp">#REF!</definedName>
    <definedName name="thu">'Design Information'!$C$73</definedName>
    <definedName name="tr">'Design Information'!$C$95</definedName>
    <definedName name="vadel">'Design Information'!$C$188</definedName>
    <definedName name="vdsqe">'Design Information'!$C$85</definedName>
    <definedName name="vg">'Design Information'!$C$51</definedName>
    <definedName name="vin">'Design Information'!$C$13</definedName>
    <definedName name="vinerror">'Design Information'!#REF!</definedName>
    <definedName name="VINMAX">'Design Information'!$D$13</definedName>
    <definedName name="VINMIAX">'Design Information'!$D$13</definedName>
    <definedName name="VINMIN">'Design Information'!$B$13</definedName>
    <definedName name="VOUT">'Design Information'!$C$14</definedName>
    <definedName name="voutmin">'Design Information'!$B$14</definedName>
    <definedName name="vrdson">'Design Information'!$C$23</definedName>
    <definedName name="Vslope1">'Design Information'!$C$221</definedName>
    <definedName name="Vslope2">'Design Information'!$C$222</definedName>
    <definedName name="VTRAN">'Design Information'!$D$15</definedName>
  </definedNames>
  <calcPr calcId="162913"/>
</workbook>
</file>

<file path=xl/calcChain.xml><?xml version="1.0" encoding="utf-8"?>
<calcChain xmlns="http://schemas.openxmlformats.org/spreadsheetml/2006/main">
  <c r="C27" i="1" l="1"/>
  <c r="C220" i="1"/>
  <c r="C28" i="1"/>
  <c r="C221" i="1"/>
  <c r="C25" i="1"/>
  <c r="C41" i="6" s="1"/>
  <c r="C206" i="1"/>
  <c r="C207" i="1"/>
  <c r="C202" i="1"/>
  <c r="C203" i="1" s="1"/>
  <c r="C204" i="1" s="1"/>
  <c r="C184" i="1"/>
  <c r="C185" i="1"/>
  <c r="C186" i="1"/>
  <c r="C56" i="1"/>
  <c r="C99" i="1"/>
  <c r="C100" i="1" s="1"/>
  <c r="C188" i="1"/>
  <c r="C195" i="1"/>
  <c r="C196" i="1" s="1"/>
  <c r="C189" i="1"/>
  <c r="F18" i="1"/>
  <c r="F13" i="1"/>
  <c r="C22" i="1"/>
  <c r="C81" i="1"/>
  <c r="C85" i="1"/>
  <c r="C90" i="1"/>
  <c r="C95" i="1"/>
  <c r="D27" i="1"/>
  <c r="F17" i="1"/>
  <c r="E121" i="1"/>
  <c r="E120" i="1"/>
  <c r="C199" i="1"/>
  <c r="F14" i="1"/>
  <c r="C101" i="1"/>
  <c r="E104" i="1"/>
  <c r="C4" i="3"/>
  <c r="C216" i="1"/>
  <c r="C217" i="1"/>
  <c r="C131" i="1"/>
  <c r="C80" i="1"/>
  <c r="D6" i="6" s="1"/>
  <c r="F6" i="6" s="1"/>
  <c r="G6" i="6" s="1"/>
  <c r="D59" i="6"/>
  <c r="F59" i="6" s="1"/>
  <c r="G59" i="6" s="1"/>
  <c r="C129" i="1"/>
  <c r="E3" i="6"/>
  <c r="I3" i="6"/>
  <c r="K3" i="6" s="1"/>
  <c r="J3" i="6"/>
  <c r="E2" i="6"/>
  <c r="I2" i="6"/>
  <c r="J2" i="6"/>
  <c r="R2" i="6"/>
  <c r="C130" i="1"/>
  <c r="A2" i="6"/>
  <c r="A3" i="6"/>
  <c r="A4" i="6"/>
  <c r="B4" i="6"/>
  <c r="J4" i="6"/>
  <c r="C7" i="3"/>
  <c r="C212" i="1"/>
  <c r="C213" i="1"/>
  <c r="C208" i="1"/>
  <c r="C190" i="1"/>
  <c r="C175" i="1"/>
  <c r="L6" i="3"/>
  <c r="K3" i="3" s="1"/>
  <c r="L19" i="3"/>
  <c r="C5" i="3"/>
  <c r="C8" i="3"/>
  <c r="C126" i="1"/>
  <c r="C127" i="1" s="1"/>
  <c r="C122" i="1"/>
  <c r="C123" i="1"/>
  <c r="C118" i="1"/>
  <c r="C6" i="3"/>
  <c r="C73" i="1"/>
  <c r="C75" i="1"/>
  <c r="C74" i="1"/>
  <c r="A5" i="6"/>
  <c r="B5" i="6"/>
  <c r="A6" i="6"/>
  <c r="A7" i="6"/>
  <c r="C222" i="1"/>
  <c r="C223" i="1"/>
  <c r="C224" i="1" s="1"/>
  <c r="C225" i="1" s="1"/>
  <c r="C25" i="6"/>
  <c r="C80" i="6"/>
  <c r="C69" i="6"/>
  <c r="C4" i="6"/>
  <c r="C47" i="6"/>
  <c r="C90" i="6"/>
  <c r="C64" i="6"/>
  <c r="C9" i="6"/>
  <c r="C31" i="6"/>
  <c r="C74" i="6"/>
  <c r="C96" i="6"/>
  <c r="C15" i="6"/>
  <c r="C58" i="6"/>
  <c r="C100" i="6"/>
  <c r="C29" i="1"/>
  <c r="C37" i="1" s="1"/>
  <c r="C11" i="6"/>
  <c r="C16" i="6"/>
  <c r="C21" i="6"/>
  <c r="C32" i="6"/>
  <c r="C37" i="6"/>
  <c r="C43" i="6"/>
  <c r="C53" i="6"/>
  <c r="C60" i="6"/>
  <c r="C65" i="6"/>
  <c r="C76" i="6"/>
  <c r="C81" i="6"/>
  <c r="C86" i="6"/>
  <c r="C97" i="6"/>
  <c r="C7" i="6"/>
  <c r="C12" i="6"/>
  <c r="C23" i="6"/>
  <c r="C28" i="6"/>
  <c r="C33" i="6"/>
  <c r="C44" i="6"/>
  <c r="C49" i="6"/>
  <c r="C55" i="6"/>
  <c r="C66" i="6"/>
  <c r="C72" i="6"/>
  <c r="C77" i="6"/>
  <c r="C88" i="6"/>
  <c r="C93" i="6"/>
  <c r="C98" i="6"/>
  <c r="C8" i="6"/>
  <c r="C13" i="6"/>
  <c r="C19" i="6"/>
  <c r="C29" i="6"/>
  <c r="C35" i="6"/>
  <c r="C40" i="6"/>
  <c r="C51" i="6"/>
  <c r="C57" i="6"/>
  <c r="C62" i="6"/>
  <c r="C73" i="6"/>
  <c r="C78" i="6"/>
  <c r="C84" i="6"/>
  <c r="C94" i="6"/>
  <c r="C177" i="1"/>
  <c r="C176" i="1" s="1"/>
  <c r="C178" i="1"/>
  <c r="B7" i="6"/>
  <c r="A8" i="6"/>
  <c r="J5" i="6"/>
  <c r="I5" i="6"/>
  <c r="E5" i="6"/>
  <c r="C76" i="1"/>
  <c r="C228" i="1"/>
  <c r="C230" i="1" s="1"/>
  <c r="C231" i="1" s="1"/>
  <c r="C35" i="1"/>
  <c r="C112" i="1"/>
  <c r="C113" i="1" s="1"/>
  <c r="C114" i="1" s="1"/>
  <c r="C67" i="1"/>
  <c r="C70" i="1"/>
  <c r="C30" i="1"/>
  <c r="B6" i="6"/>
  <c r="C142" i="1"/>
  <c r="C147" i="1"/>
  <c r="C149" i="1" s="1"/>
  <c r="C148" i="1" s="1"/>
  <c r="C135" i="1"/>
  <c r="C31" i="1"/>
  <c r="E4" i="6"/>
  <c r="I4" i="6"/>
  <c r="K4" i="6" s="1"/>
  <c r="C66" i="1"/>
  <c r="E68" i="1"/>
  <c r="C101" i="6"/>
  <c r="C99" i="6"/>
  <c r="C91" i="6"/>
  <c r="C87" i="6"/>
  <c r="C83" i="6"/>
  <c r="C75" i="6"/>
  <c r="C71" i="6"/>
  <c r="C67" i="6"/>
  <c r="C59" i="6"/>
  <c r="C54" i="6"/>
  <c r="C50" i="6"/>
  <c r="C42" i="6"/>
  <c r="C38" i="6"/>
  <c r="C34" i="6"/>
  <c r="C26" i="6"/>
  <c r="C22" i="6"/>
  <c r="C18" i="6"/>
  <c r="C10" i="6"/>
  <c r="C6" i="6"/>
  <c r="C2" i="6"/>
  <c r="C132" i="1"/>
  <c r="E44" i="1"/>
  <c r="C33" i="1"/>
  <c r="C32" i="1"/>
  <c r="C34" i="1"/>
  <c r="E7" i="6"/>
  <c r="I7" i="6"/>
  <c r="J7" i="6"/>
  <c r="C145" i="1"/>
  <c r="C144" i="1"/>
  <c r="C143" i="1" s="1"/>
  <c r="E6" i="6"/>
  <c r="I6" i="6"/>
  <c r="J6" i="6"/>
  <c r="A9" i="6"/>
  <c r="B8" i="6"/>
  <c r="J8" i="6"/>
  <c r="I8" i="6"/>
  <c r="K8" i="6"/>
  <c r="E8" i="6"/>
  <c r="B9" i="6"/>
  <c r="A10" i="6"/>
  <c r="C36" i="1"/>
  <c r="C91" i="1"/>
  <c r="B10" i="6"/>
  <c r="A11" i="6"/>
  <c r="J9" i="6"/>
  <c r="I9" i="6"/>
  <c r="E9" i="6"/>
  <c r="E10" i="6"/>
  <c r="J10" i="6"/>
  <c r="I10" i="6"/>
  <c r="A12" i="6"/>
  <c r="B11" i="6"/>
  <c r="E11" i="6"/>
  <c r="I11" i="6"/>
  <c r="J11" i="6"/>
  <c r="A13" i="6"/>
  <c r="B12" i="6"/>
  <c r="A14" i="6"/>
  <c r="B13" i="6"/>
  <c r="J12" i="6"/>
  <c r="E12" i="6"/>
  <c r="I12" i="6"/>
  <c r="J13" i="6"/>
  <c r="I13" i="6"/>
  <c r="E13" i="6"/>
  <c r="B14" i="6"/>
  <c r="A15" i="6"/>
  <c r="J14" i="6"/>
  <c r="E14" i="6"/>
  <c r="I14" i="6"/>
  <c r="A16" i="6"/>
  <c r="B15" i="6"/>
  <c r="J15" i="6"/>
  <c r="I15" i="6"/>
  <c r="E15" i="6"/>
  <c r="B16" i="6"/>
  <c r="A17" i="6"/>
  <c r="E16" i="6"/>
  <c r="I16" i="6"/>
  <c r="J16" i="6"/>
  <c r="A18" i="6"/>
  <c r="B17" i="6"/>
  <c r="B18" i="6"/>
  <c r="A19" i="6"/>
  <c r="J17" i="6"/>
  <c r="I17" i="6"/>
  <c r="E17" i="6"/>
  <c r="B19" i="6"/>
  <c r="A20" i="6"/>
  <c r="J18" i="6"/>
  <c r="E18" i="6"/>
  <c r="I18" i="6"/>
  <c r="B20" i="6"/>
  <c r="A21" i="6"/>
  <c r="J19" i="6"/>
  <c r="I19" i="6"/>
  <c r="E19" i="6"/>
  <c r="A22" i="6"/>
  <c r="B21" i="6"/>
  <c r="J20" i="6"/>
  <c r="E20" i="6"/>
  <c r="I20" i="6"/>
  <c r="J21" i="6"/>
  <c r="I21" i="6"/>
  <c r="E21" i="6"/>
  <c r="B22" i="6"/>
  <c r="A23" i="6"/>
  <c r="A24" i="6"/>
  <c r="B23" i="6"/>
  <c r="J22" i="6"/>
  <c r="E22" i="6"/>
  <c r="I22" i="6"/>
  <c r="B24" i="6"/>
  <c r="A25" i="6"/>
  <c r="J23" i="6"/>
  <c r="I23" i="6"/>
  <c r="E23" i="6"/>
  <c r="A26" i="6"/>
  <c r="B25" i="6"/>
  <c r="E24" i="6"/>
  <c r="I24" i="6"/>
  <c r="J24" i="6"/>
  <c r="B26" i="6"/>
  <c r="A27" i="6"/>
  <c r="J25" i="6"/>
  <c r="R25" i="6"/>
  <c r="E25" i="6"/>
  <c r="I25" i="6"/>
  <c r="A28" i="6"/>
  <c r="B27" i="6"/>
  <c r="J26" i="6"/>
  <c r="E26" i="6"/>
  <c r="I26" i="6"/>
  <c r="E27" i="6"/>
  <c r="I27" i="6"/>
  <c r="J27" i="6"/>
  <c r="A29" i="6"/>
  <c r="B28" i="6"/>
  <c r="A30" i="6"/>
  <c r="B29" i="6"/>
  <c r="J28" i="6"/>
  <c r="E28" i="6"/>
  <c r="I28" i="6"/>
  <c r="B30" i="6"/>
  <c r="A31" i="6"/>
  <c r="E29" i="6"/>
  <c r="I29" i="6"/>
  <c r="J29" i="6"/>
  <c r="D30" i="6"/>
  <c r="F30" i="6" s="1"/>
  <c r="E30" i="6"/>
  <c r="I30" i="6"/>
  <c r="J30" i="6"/>
  <c r="A32" i="6"/>
  <c r="B31" i="6"/>
  <c r="B32" i="6"/>
  <c r="A33" i="6"/>
  <c r="E31" i="6"/>
  <c r="I31" i="6"/>
  <c r="J31" i="6"/>
  <c r="I32" i="6"/>
  <c r="J32" i="6"/>
  <c r="E32" i="6"/>
  <c r="A34" i="6"/>
  <c r="B33" i="6"/>
  <c r="B34" i="6"/>
  <c r="A35" i="6"/>
  <c r="E33" i="6"/>
  <c r="J33" i="6"/>
  <c r="I33" i="6"/>
  <c r="A36" i="6"/>
  <c r="B35" i="6"/>
  <c r="J34" i="6"/>
  <c r="I34" i="6"/>
  <c r="E34" i="6"/>
  <c r="J35" i="6"/>
  <c r="E35" i="6"/>
  <c r="I35" i="6"/>
  <c r="A37" i="6"/>
  <c r="B36" i="6"/>
  <c r="J36" i="6"/>
  <c r="I36" i="6"/>
  <c r="E36" i="6"/>
  <c r="B37" i="6"/>
  <c r="A38" i="6"/>
  <c r="B38" i="6"/>
  <c r="A39" i="6"/>
  <c r="E37" i="6"/>
  <c r="I37" i="6"/>
  <c r="J37" i="6"/>
  <c r="E38" i="6"/>
  <c r="I38" i="6"/>
  <c r="J38" i="6"/>
  <c r="A40" i="6"/>
  <c r="B39" i="6"/>
  <c r="B40" i="6"/>
  <c r="A41" i="6"/>
  <c r="E39" i="6"/>
  <c r="I39" i="6"/>
  <c r="J39" i="6"/>
  <c r="I40" i="6"/>
  <c r="E40" i="6"/>
  <c r="J40" i="6"/>
  <c r="A42" i="6"/>
  <c r="B41" i="6"/>
  <c r="B42" i="6"/>
  <c r="A43" i="6"/>
  <c r="E41" i="6"/>
  <c r="J41" i="6"/>
  <c r="I41" i="6"/>
  <c r="A44" i="6"/>
  <c r="B43" i="6"/>
  <c r="I42" i="6"/>
  <c r="E42" i="6"/>
  <c r="J42" i="6"/>
  <c r="A45" i="6"/>
  <c r="B44" i="6"/>
  <c r="E43" i="6"/>
  <c r="I43" i="6"/>
  <c r="J43" i="6"/>
  <c r="J44" i="6"/>
  <c r="E44" i="6"/>
  <c r="I44" i="6"/>
  <c r="A46" i="6"/>
  <c r="B45" i="6"/>
  <c r="E45" i="6"/>
  <c r="J45" i="6"/>
  <c r="R45" i="6"/>
  <c r="I45" i="6"/>
  <c r="B46" i="6"/>
  <c r="A47" i="6"/>
  <c r="B47" i="6"/>
  <c r="A48" i="6"/>
  <c r="J46" i="6"/>
  <c r="I46" i="6"/>
  <c r="E46" i="6"/>
  <c r="B48" i="6"/>
  <c r="A49" i="6"/>
  <c r="J47" i="6"/>
  <c r="I47" i="6"/>
  <c r="E47" i="6"/>
  <c r="B49" i="6"/>
  <c r="A50" i="6"/>
  <c r="J48" i="6"/>
  <c r="I48" i="6"/>
  <c r="E48" i="6"/>
  <c r="A51" i="6"/>
  <c r="B50" i="6"/>
  <c r="E49" i="6"/>
  <c r="I49" i="6"/>
  <c r="J49" i="6"/>
  <c r="J50" i="6"/>
  <c r="I50" i="6"/>
  <c r="E50" i="6"/>
  <c r="B51" i="6"/>
  <c r="A52" i="6"/>
  <c r="A53" i="6"/>
  <c r="B52" i="6"/>
  <c r="I51" i="6"/>
  <c r="E51" i="6"/>
  <c r="J51" i="6"/>
  <c r="J52" i="6"/>
  <c r="I52" i="6"/>
  <c r="E52" i="6"/>
  <c r="B53" i="6"/>
  <c r="A54" i="6"/>
  <c r="B54" i="6"/>
  <c r="A55" i="6"/>
  <c r="I53" i="6"/>
  <c r="J53" i="6"/>
  <c r="E53" i="6"/>
  <c r="J54" i="6"/>
  <c r="I54" i="6"/>
  <c r="E54" i="6"/>
  <c r="B55" i="6"/>
  <c r="A56" i="6"/>
  <c r="A57" i="6"/>
  <c r="B56" i="6"/>
  <c r="J55" i="6"/>
  <c r="I55" i="6"/>
  <c r="E55" i="6"/>
  <c r="J56" i="6"/>
  <c r="I56" i="6"/>
  <c r="E56" i="6"/>
  <c r="B57" i="6"/>
  <c r="A58" i="6"/>
  <c r="A59" i="6"/>
  <c r="B58" i="6"/>
  <c r="E57" i="6"/>
  <c r="I57" i="6"/>
  <c r="J57" i="6"/>
  <c r="B59" i="6"/>
  <c r="A60" i="6"/>
  <c r="J58" i="6"/>
  <c r="I58" i="6"/>
  <c r="E58" i="6"/>
  <c r="B60" i="6"/>
  <c r="A61" i="6"/>
  <c r="I59" i="6"/>
  <c r="E59" i="6"/>
  <c r="J59" i="6"/>
  <c r="B61" i="6"/>
  <c r="A62" i="6"/>
  <c r="J60" i="6"/>
  <c r="I60" i="6"/>
  <c r="E60" i="6"/>
  <c r="B62" i="6"/>
  <c r="A63" i="6"/>
  <c r="I61" i="6"/>
  <c r="E61" i="6"/>
  <c r="J61" i="6"/>
  <c r="B63" i="6"/>
  <c r="A64" i="6"/>
  <c r="J62" i="6"/>
  <c r="I62" i="6"/>
  <c r="E62" i="6"/>
  <c r="J63" i="6"/>
  <c r="I63" i="6"/>
  <c r="E63" i="6"/>
  <c r="B64" i="6"/>
  <c r="A65" i="6"/>
  <c r="B65" i="6"/>
  <c r="A66" i="6"/>
  <c r="J64" i="6"/>
  <c r="I64" i="6"/>
  <c r="E64" i="6"/>
  <c r="A67" i="6"/>
  <c r="B66" i="6"/>
  <c r="E65" i="6"/>
  <c r="I65" i="6"/>
  <c r="J65" i="6"/>
  <c r="J66" i="6"/>
  <c r="I66" i="6"/>
  <c r="E66" i="6"/>
  <c r="B67" i="6"/>
  <c r="A68" i="6"/>
  <c r="B68" i="6"/>
  <c r="A69" i="6"/>
  <c r="E67" i="6"/>
  <c r="I67" i="6"/>
  <c r="J67" i="6"/>
  <c r="B69" i="6"/>
  <c r="A70" i="6"/>
  <c r="J68" i="6"/>
  <c r="I68" i="6"/>
  <c r="K68" i="6" s="1"/>
  <c r="E68" i="6"/>
  <c r="B70" i="6"/>
  <c r="A71" i="6"/>
  <c r="E69" i="6"/>
  <c r="I69" i="6"/>
  <c r="J69" i="6"/>
  <c r="J70" i="6"/>
  <c r="I70" i="6"/>
  <c r="K70" i="6" s="1"/>
  <c r="E70" i="6"/>
  <c r="B71" i="6"/>
  <c r="A72" i="6"/>
  <c r="J71" i="6"/>
  <c r="E71" i="6"/>
  <c r="I71" i="6"/>
  <c r="B72" i="6"/>
  <c r="A73" i="6"/>
  <c r="B73" i="6"/>
  <c r="A74" i="6"/>
  <c r="J72" i="6"/>
  <c r="I72" i="6"/>
  <c r="K72" i="6" s="1"/>
  <c r="E72" i="6"/>
  <c r="A75" i="6"/>
  <c r="B74" i="6"/>
  <c r="E73" i="6"/>
  <c r="I73" i="6"/>
  <c r="J73" i="6"/>
  <c r="J74" i="6"/>
  <c r="I74" i="6"/>
  <c r="E74" i="6"/>
  <c r="B75" i="6"/>
  <c r="A76" i="6"/>
  <c r="J75" i="6"/>
  <c r="E75" i="6"/>
  <c r="I75" i="6"/>
  <c r="B76" i="6"/>
  <c r="A77" i="6"/>
  <c r="B77" i="6"/>
  <c r="A78" i="6"/>
  <c r="J76" i="6"/>
  <c r="I76" i="6"/>
  <c r="K76" i="6" s="1"/>
  <c r="E76" i="6"/>
  <c r="J77" i="6"/>
  <c r="E77" i="6"/>
  <c r="I77" i="6"/>
  <c r="A79" i="6"/>
  <c r="B78" i="6"/>
  <c r="J78" i="6"/>
  <c r="I78" i="6"/>
  <c r="K78" i="6" s="1"/>
  <c r="E78" i="6"/>
  <c r="B79" i="6"/>
  <c r="A80" i="6"/>
  <c r="A81" i="6"/>
  <c r="B80" i="6"/>
  <c r="J79" i="6"/>
  <c r="E79" i="6"/>
  <c r="I79" i="6"/>
  <c r="J80" i="6"/>
  <c r="I80" i="6"/>
  <c r="E80" i="6"/>
  <c r="B81" i="6"/>
  <c r="A82" i="6"/>
  <c r="B82" i="6"/>
  <c r="A83" i="6"/>
  <c r="E81" i="6"/>
  <c r="I81" i="6"/>
  <c r="D81" i="6"/>
  <c r="F81" i="6" s="1"/>
  <c r="J81" i="6"/>
  <c r="B83" i="6"/>
  <c r="A84" i="6"/>
  <c r="E82" i="6"/>
  <c r="I82" i="6"/>
  <c r="J82" i="6"/>
  <c r="B84" i="6"/>
  <c r="A85" i="6"/>
  <c r="J83" i="6"/>
  <c r="I83" i="6"/>
  <c r="E83" i="6"/>
  <c r="B85" i="6"/>
  <c r="A86" i="6"/>
  <c r="J84" i="6"/>
  <c r="I84" i="6"/>
  <c r="E84" i="6"/>
  <c r="R84" i="6"/>
  <c r="A87" i="6"/>
  <c r="B86" i="6"/>
  <c r="J85" i="6"/>
  <c r="E85" i="6"/>
  <c r="I85" i="6"/>
  <c r="E86" i="6"/>
  <c r="D86" i="6"/>
  <c r="F86" i="6"/>
  <c r="J86" i="6"/>
  <c r="I86" i="6"/>
  <c r="B87" i="6"/>
  <c r="A88" i="6"/>
  <c r="A89" i="6"/>
  <c r="B88" i="6"/>
  <c r="D87" i="6"/>
  <c r="F87" i="6" s="1"/>
  <c r="E87" i="6"/>
  <c r="I87" i="6"/>
  <c r="K87" i="6" s="1"/>
  <c r="J87" i="6"/>
  <c r="E88" i="6"/>
  <c r="J88" i="6"/>
  <c r="I88" i="6"/>
  <c r="K88" i="6" s="1"/>
  <c r="A90" i="6"/>
  <c r="B89" i="6"/>
  <c r="A91" i="6"/>
  <c r="B90" i="6"/>
  <c r="E89" i="6"/>
  <c r="J89" i="6"/>
  <c r="I89" i="6"/>
  <c r="D89" i="6"/>
  <c r="F89" i="6" s="1"/>
  <c r="E90" i="6"/>
  <c r="J90" i="6"/>
  <c r="I90" i="6"/>
  <c r="A92" i="6"/>
  <c r="B91" i="6"/>
  <c r="A93" i="6"/>
  <c r="B92" i="6"/>
  <c r="J91" i="6"/>
  <c r="I91" i="6"/>
  <c r="E91" i="6"/>
  <c r="B93" i="6"/>
  <c r="A94" i="6"/>
  <c r="E92" i="6"/>
  <c r="I92" i="6"/>
  <c r="J92" i="6"/>
  <c r="A95" i="6"/>
  <c r="B94" i="6"/>
  <c r="E93" i="6"/>
  <c r="J93" i="6"/>
  <c r="I93" i="6"/>
  <c r="D93" i="6"/>
  <c r="F93" i="6"/>
  <c r="B95" i="6"/>
  <c r="A96" i="6"/>
  <c r="E94" i="6"/>
  <c r="I94" i="6"/>
  <c r="J94" i="6"/>
  <c r="A97" i="6"/>
  <c r="B96" i="6"/>
  <c r="J95" i="6"/>
  <c r="E95" i="6"/>
  <c r="I95" i="6"/>
  <c r="D96" i="6"/>
  <c r="F96" i="6" s="1"/>
  <c r="E96" i="6"/>
  <c r="I96" i="6"/>
  <c r="J96" i="6"/>
  <c r="B97" i="6"/>
  <c r="A98" i="6"/>
  <c r="A99" i="6"/>
  <c r="B98" i="6"/>
  <c r="D97" i="6"/>
  <c r="F97" i="6" s="1"/>
  <c r="I97" i="6"/>
  <c r="J97" i="6"/>
  <c r="E97" i="6"/>
  <c r="E98" i="6"/>
  <c r="J98" i="6"/>
  <c r="I98" i="6"/>
  <c r="B99" i="6"/>
  <c r="A100" i="6"/>
  <c r="J99" i="6"/>
  <c r="I99" i="6"/>
  <c r="E99" i="6"/>
  <c r="A101" i="6"/>
  <c r="B101" i="6"/>
  <c r="B100" i="6"/>
  <c r="D100" i="6"/>
  <c r="F100" i="6"/>
  <c r="G100" i="6" s="1"/>
  <c r="E100" i="6"/>
  <c r="I100" i="6"/>
  <c r="J100" i="6"/>
  <c r="R101" i="6"/>
  <c r="I101" i="6"/>
  <c r="J101" i="6"/>
  <c r="E101" i="6"/>
  <c r="D50" i="6"/>
  <c r="F50" i="6" s="1"/>
  <c r="G50" i="6"/>
  <c r="D17" i="6"/>
  <c r="F17" i="6" s="1"/>
  <c r="D25" i="6"/>
  <c r="F25" i="6" s="1"/>
  <c r="G25" i="6"/>
  <c r="H25" i="6" s="1"/>
  <c r="D34" i="6"/>
  <c r="F34" i="6" s="1"/>
  <c r="D40" i="6"/>
  <c r="F40" i="6" s="1"/>
  <c r="G40" i="6" s="1"/>
  <c r="D5" i="6"/>
  <c r="F5" i="6" s="1"/>
  <c r="D13" i="6"/>
  <c r="F13" i="6" s="1"/>
  <c r="D39" i="6"/>
  <c r="F39" i="6" s="1"/>
  <c r="D49" i="6"/>
  <c r="F49" i="6" s="1"/>
  <c r="G49" i="6" s="1"/>
  <c r="C82" i="1"/>
  <c r="D9" i="6"/>
  <c r="F9" i="6"/>
  <c r="G9" i="6" s="1"/>
  <c r="H9" i="6" s="1"/>
  <c r="D28" i="6"/>
  <c r="F28" i="6"/>
  <c r="G28" i="6" s="1"/>
  <c r="H28" i="6" s="1"/>
  <c r="D36" i="6"/>
  <c r="F36" i="6" s="1"/>
  <c r="D43" i="6"/>
  <c r="F43" i="6" s="1"/>
  <c r="G43" i="6" s="1"/>
  <c r="H43" i="6" s="1"/>
  <c r="D51" i="6"/>
  <c r="F51" i="6" s="1"/>
  <c r="G51" i="6" s="1"/>
  <c r="H51" i="6" s="1"/>
  <c r="D52" i="6"/>
  <c r="F52" i="6" s="1"/>
  <c r="D60" i="6"/>
  <c r="F60" i="6" s="1"/>
  <c r="D63" i="6"/>
  <c r="F63" i="6" s="1"/>
  <c r="C133" i="1"/>
  <c r="D7" i="6"/>
  <c r="F7" i="6" s="1"/>
  <c r="G7" i="6" s="1"/>
  <c r="D16" i="6"/>
  <c r="F16" i="6"/>
  <c r="G16" i="6" s="1"/>
  <c r="D29" i="6"/>
  <c r="F29" i="6"/>
  <c r="G29" i="6" s="1"/>
  <c r="D41" i="6"/>
  <c r="F41" i="6"/>
  <c r="G41" i="6" s="1"/>
  <c r="D55" i="6"/>
  <c r="F55" i="6" s="1"/>
  <c r="G55" i="6" s="1"/>
  <c r="D65" i="6"/>
  <c r="F65" i="6" s="1"/>
  <c r="G65" i="6" s="1"/>
  <c r="D72" i="6"/>
  <c r="F72" i="6" s="1"/>
  <c r="G72" i="6" s="1"/>
  <c r="D18" i="6"/>
  <c r="F18" i="6"/>
  <c r="G18" i="6" s="1"/>
  <c r="D42" i="6"/>
  <c r="F42" i="6" s="1"/>
  <c r="G42" i="6" s="1"/>
  <c r="D47" i="6"/>
  <c r="F47" i="6" s="1"/>
  <c r="D78" i="6"/>
  <c r="F78" i="6"/>
  <c r="G78" i="6" s="1"/>
  <c r="D84" i="6"/>
  <c r="F84" i="6"/>
  <c r="G84" i="6" s="1"/>
  <c r="D99" i="6"/>
  <c r="F99" i="6" s="1"/>
  <c r="G99" i="6" s="1"/>
  <c r="D12" i="6"/>
  <c r="F12" i="6" s="1"/>
  <c r="G12" i="6" s="1"/>
  <c r="D22" i="6"/>
  <c r="F22" i="6" s="1"/>
  <c r="D23" i="6"/>
  <c r="F23" i="6" s="1"/>
  <c r="G23" i="6" s="1"/>
  <c r="H23" i="6" s="1"/>
  <c r="D44" i="6"/>
  <c r="F44" i="6"/>
  <c r="G44" i="6" s="1"/>
  <c r="D74" i="6"/>
  <c r="F74" i="6" s="1"/>
  <c r="G74" i="6" s="1"/>
  <c r="H74" i="6" s="1"/>
  <c r="D77" i="6"/>
  <c r="F77" i="6" s="1"/>
  <c r="G77" i="6" s="1"/>
  <c r="D80" i="6"/>
  <c r="F80" i="6" s="1"/>
  <c r="G80" i="6"/>
  <c r="D90" i="6"/>
  <c r="F90" i="6"/>
  <c r="G90" i="6" s="1"/>
  <c r="D68" i="6"/>
  <c r="F68" i="6"/>
  <c r="D46" i="6"/>
  <c r="F46" i="6"/>
  <c r="D95" i="6"/>
  <c r="F95" i="6"/>
  <c r="D62" i="6"/>
  <c r="F62" i="6" s="1"/>
  <c r="G62" i="6"/>
  <c r="K36" i="6" l="1"/>
  <c r="K33" i="6"/>
  <c r="K65" i="6"/>
  <c r="K49" i="6"/>
  <c r="K95" i="6"/>
  <c r="K61" i="6"/>
  <c r="K45" i="6"/>
  <c r="K42" i="6"/>
  <c r="K77" i="6"/>
  <c r="K63" i="6"/>
  <c r="K24" i="6"/>
  <c r="K98" i="6"/>
  <c r="K96" i="6"/>
  <c r="K97" i="6"/>
  <c r="L97" i="6" s="1"/>
  <c r="K94" i="6"/>
  <c r="K92" i="6"/>
  <c r="K80" i="6"/>
  <c r="K31" i="6"/>
  <c r="L31" i="6" s="1"/>
  <c r="K6" i="6"/>
  <c r="K101" i="6"/>
  <c r="K20" i="6"/>
  <c r="K90" i="6"/>
  <c r="K89" i="6"/>
  <c r="K82" i="6"/>
  <c r="K66" i="6"/>
  <c r="K64" i="6"/>
  <c r="K60" i="6"/>
  <c r="K50" i="6"/>
  <c r="L50" i="6" s="1"/>
  <c r="K48" i="6"/>
  <c r="K37" i="6"/>
  <c r="K32" i="6"/>
  <c r="K30" i="6"/>
  <c r="K29" i="6"/>
  <c r="K21" i="6"/>
  <c r="K13" i="6"/>
  <c r="L13" i="6" s="1"/>
  <c r="K75" i="6"/>
  <c r="L75" i="6" s="1"/>
  <c r="K28" i="6"/>
  <c r="K100" i="6"/>
  <c r="K99" i="6"/>
  <c r="L99" i="6" s="1"/>
  <c r="K86" i="6"/>
  <c r="K84" i="6"/>
  <c r="K69" i="6"/>
  <c r="L69" i="6" s="1"/>
  <c r="K62" i="6"/>
  <c r="L62" i="6" s="1"/>
  <c r="K59" i="6"/>
  <c r="L59" i="6" s="1"/>
  <c r="K56" i="6"/>
  <c r="K52" i="6"/>
  <c r="K51" i="6"/>
  <c r="L51" i="6" s="1"/>
  <c r="M51" i="6" s="1"/>
  <c r="K46" i="6"/>
  <c r="K15" i="6"/>
  <c r="L15" i="6" s="1"/>
  <c r="K10" i="6"/>
  <c r="K5" i="6"/>
  <c r="K85" i="6"/>
  <c r="K83" i="6"/>
  <c r="K44" i="6"/>
  <c r="L44" i="6" s="1"/>
  <c r="K23" i="6"/>
  <c r="L23" i="6" s="1"/>
  <c r="K7" i="6"/>
  <c r="L7" i="6" s="1"/>
  <c r="K43" i="6"/>
  <c r="L43" i="6" s="1"/>
  <c r="M43" i="6" s="1"/>
  <c r="K39" i="6"/>
  <c r="K25" i="6"/>
  <c r="L25" i="6" s="1"/>
  <c r="K58" i="6"/>
  <c r="K2" i="6"/>
  <c r="K93" i="6"/>
  <c r="L93" i="6" s="1"/>
  <c r="K91" i="6"/>
  <c r="L91" i="6" s="1"/>
  <c r="K81" i="6"/>
  <c r="K73" i="6"/>
  <c r="K71" i="6"/>
  <c r="K67" i="6"/>
  <c r="L67" i="6" s="1"/>
  <c r="N67" i="6" s="1"/>
  <c r="O67" i="6" s="1"/>
  <c r="K54" i="6"/>
  <c r="L54" i="6" s="1"/>
  <c r="K53" i="6"/>
  <c r="L53" i="6" s="1"/>
  <c r="K47" i="6"/>
  <c r="K40" i="6"/>
  <c r="L40" i="6" s="1"/>
  <c r="K34" i="6"/>
  <c r="K22" i="6"/>
  <c r="K17" i="6"/>
  <c r="K12" i="6"/>
  <c r="L12" i="6" s="1"/>
  <c r="M12" i="6" s="1"/>
  <c r="K11" i="6"/>
  <c r="K57" i="6"/>
  <c r="K38" i="6"/>
  <c r="K27" i="6"/>
  <c r="K79" i="6"/>
  <c r="K74" i="6"/>
  <c r="K55" i="6"/>
  <c r="L55" i="6" s="1"/>
  <c r="K41" i="6"/>
  <c r="L41" i="6" s="1"/>
  <c r="N41" i="6" s="1"/>
  <c r="O41" i="6" s="1"/>
  <c r="K35" i="6"/>
  <c r="K26" i="6"/>
  <c r="K19" i="6"/>
  <c r="L19" i="6" s="1"/>
  <c r="K18" i="6"/>
  <c r="L18" i="6" s="1"/>
  <c r="K16" i="6"/>
  <c r="L16" i="6" s="1"/>
  <c r="K14" i="6"/>
  <c r="K9" i="6"/>
  <c r="L9" i="6" s="1"/>
  <c r="C150" i="1"/>
  <c r="C96" i="1"/>
  <c r="H44" i="6"/>
  <c r="H41" i="6"/>
  <c r="H40" i="6"/>
  <c r="H65" i="6"/>
  <c r="L65" i="6"/>
  <c r="L29" i="6"/>
  <c r="H29" i="6"/>
  <c r="H7" i="6"/>
  <c r="L90" i="6"/>
  <c r="M90" i="6" s="1"/>
  <c r="H90" i="6"/>
  <c r="L77" i="6"/>
  <c r="H77" i="6"/>
  <c r="H84" i="6"/>
  <c r="L84" i="6"/>
  <c r="L72" i="6"/>
  <c r="N72" i="6" s="1"/>
  <c r="O72" i="6" s="1"/>
  <c r="H72" i="6"/>
  <c r="D31" i="6"/>
  <c r="F31" i="6" s="1"/>
  <c r="G31" i="6" s="1"/>
  <c r="H31" i="6" s="1"/>
  <c r="D82" i="6"/>
  <c r="F82" i="6" s="1"/>
  <c r="D76" i="6"/>
  <c r="F76" i="6" s="1"/>
  <c r="G76" i="6" s="1"/>
  <c r="D67" i="6"/>
  <c r="F67" i="6" s="1"/>
  <c r="G67" i="6" s="1"/>
  <c r="H67" i="6" s="1"/>
  <c r="D3" i="6"/>
  <c r="F3" i="6" s="1"/>
  <c r="D83" i="6"/>
  <c r="F83" i="6" s="1"/>
  <c r="D54" i="6"/>
  <c r="F54" i="6" s="1"/>
  <c r="G54" i="6" s="1"/>
  <c r="D73" i="6"/>
  <c r="F73" i="6" s="1"/>
  <c r="D71" i="6"/>
  <c r="F71" i="6" s="1"/>
  <c r="G71" i="6" s="1"/>
  <c r="D57" i="6"/>
  <c r="F57" i="6" s="1"/>
  <c r="D45" i="6"/>
  <c r="F45" i="6" s="1"/>
  <c r="D37" i="6"/>
  <c r="F37" i="6" s="1"/>
  <c r="D2" i="6"/>
  <c r="F2" i="6" s="1"/>
  <c r="G2" i="6" s="1"/>
  <c r="D69" i="6"/>
  <c r="F69" i="6" s="1"/>
  <c r="G69" i="6" s="1"/>
  <c r="H69" i="6" s="1"/>
  <c r="D61" i="6"/>
  <c r="F61" i="6" s="1"/>
  <c r="D56" i="6"/>
  <c r="F56" i="6" s="1"/>
  <c r="D20" i="6"/>
  <c r="F20" i="6" s="1"/>
  <c r="D48" i="6"/>
  <c r="F48" i="6" s="1"/>
  <c r="D26" i="6"/>
  <c r="F26" i="6" s="1"/>
  <c r="D10" i="6"/>
  <c r="F10" i="6" s="1"/>
  <c r="G10" i="6" s="1"/>
  <c r="D4" i="6"/>
  <c r="F4" i="6" s="1"/>
  <c r="G4" i="6" s="1"/>
  <c r="D24" i="6"/>
  <c r="F24" i="6" s="1"/>
  <c r="D11" i="6"/>
  <c r="F11" i="6" s="1"/>
  <c r="G11" i="6" s="1"/>
  <c r="D94" i="6"/>
  <c r="F94" i="6" s="1"/>
  <c r="G94" i="6" s="1"/>
  <c r="D66" i="6"/>
  <c r="F66" i="6" s="1"/>
  <c r="G66" i="6" s="1"/>
  <c r="D53" i="6"/>
  <c r="F53" i="6" s="1"/>
  <c r="G53" i="6" s="1"/>
  <c r="D8" i="6"/>
  <c r="F8" i="6" s="1"/>
  <c r="G8" i="6" s="1"/>
  <c r="D58" i="6"/>
  <c r="F58" i="6" s="1"/>
  <c r="G58" i="6" s="1"/>
  <c r="D91" i="6"/>
  <c r="F91" i="6" s="1"/>
  <c r="G91" i="6" s="1"/>
  <c r="H91" i="6" s="1"/>
  <c r="D35" i="6"/>
  <c r="F35" i="6" s="1"/>
  <c r="D64" i="6"/>
  <c r="F64" i="6" s="1"/>
  <c r="G64" i="6" s="1"/>
  <c r="L64" i="6" s="1"/>
  <c r="D101" i="6"/>
  <c r="F101" i="6" s="1"/>
  <c r="D88" i="6"/>
  <c r="F88" i="6" s="1"/>
  <c r="G88" i="6" s="1"/>
  <c r="D79" i="6"/>
  <c r="F79" i="6" s="1"/>
  <c r="D27" i="6"/>
  <c r="F27" i="6" s="1"/>
  <c r="D19" i="6"/>
  <c r="F19" i="6" s="1"/>
  <c r="G19" i="6" s="1"/>
  <c r="H19" i="6" s="1"/>
  <c r="D14" i="6"/>
  <c r="F14" i="6" s="1"/>
  <c r="D70" i="6"/>
  <c r="F70" i="6" s="1"/>
  <c r="D38" i="6"/>
  <c r="F38" i="6" s="1"/>
  <c r="G38" i="6" s="1"/>
  <c r="D32" i="6"/>
  <c r="F32" i="6" s="1"/>
  <c r="G32" i="6" s="1"/>
  <c r="L32" i="6" s="1"/>
  <c r="D15" i="6"/>
  <c r="F15" i="6" s="1"/>
  <c r="C134" i="1"/>
  <c r="C136" i="1" s="1"/>
  <c r="D33" i="6"/>
  <c r="F33" i="6" s="1"/>
  <c r="G33" i="6" s="1"/>
  <c r="D21" i="6"/>
  <c r="F21" i="6" s="1"/>
  <c r="G21" i="6" s="1"/>
  <c r="D98" i="6"/>
  <c r="F98" i="6" s="1"/>
  <c r="G98" i="6" s="1"/>
  <c r="D92" i="6"/>
  <c r="F92" i="6" s="1"/>
  <c r="D85" i="6"/>
  <c r="F85" i="6" s="1"/>
  <c r="D75" i="6"/>
  <c r="F75" i="6" s="1"/>
  <c r="G75" i="6" s="1"/>
  <c r="H75" i="6" s="1"/>
  <c r="G26" i="6"/>
  <c r="G96" i="6"/>
  <c r="L96" i="6" s="1"/>
  <c r="H18" i="6"/>
  <c r="H76" i="6"/>
  <c r="L76" i="6"/>
  <c r="H42" i="6"/>
  <c r="L42" i="6"/>
  <c r="H54" i="6"/>
  <c r="N51" i="6"/>
  <c r="O51" i="6" s="1"/>
  <c r="H55" i="6"/>
  <c r="H62" i="6"/>
  <c r="H12" i="6"/>
  <c r="H59" i="6"/>
  <c r="H99" i="6"/>
  <c r="H53" i="6"/>
  <c r="C137" i="1"/>
  <c r="C138" i="1" s="1"/>
  <c r="C139" i="1" s="1"/>
  <c r="C140" i="1" s="1"/>
  <c r="G83" i="6"/>
  <c r="G101" i="6"/>
  <c r="H101" i="6" s="1"/>
  <c r="G93" i="6"/>
  <c r="G47" i="6"/>
  <c r="L74" i="6"/>
  <c r="H50" i="6"/>
  <c r="G35" i="6"/>
  <c r="G86" i="6"/>
  <c r="G60" i="6"/>
  <c r="G22" i="6"/>
  <c r="G87" i="6"/>
  <c r="L87" i="6" s="1"/>
  <c r="G73" i="6"/>
  <c r="L73" i="6" s="1"/>
  <c r="G13" i="6"/>
  <c r="G97" i="6"/>
  <c r="H97" i="6" s="1"/>
  <c r="G37" i="6"/>
  <c r="G15" i="6"/>
  <c r="H15" i="6" s="1"/>
  <c r="G34" i="6"/>
  <c r="G57" i="6"/>
  <c r="G81" i="6"/>
  <c r="L49" i="6"/>
  <c r="H49" i="6"/>
  <c r="H13" i="6"/>
  <c r="H80" i="6"/>
  <c r="L80" i="6"/>
  <c r="L28" i="6"/>
  <c r="H64" i="6"/>
  <c r="H38" i="6"/>
  <c r="H16" i="6"/>
  <c r="L6" i="6"/>
  <c r="H6" i="6"/>
  <c r="L78" i="6"/>
  <c r="H78" i="6"/>
  <c r="L100" i="6"/>
  <c r="H100" i="6"/>
  <c r="H93" i="6"/>
  <c r="C56" i="6"/>
  <c r="G56" i="6" s="1"/>
  <c r="C14" i="6"/>
  <c r="C30" i="6"/>
  <c r="G30" i="6" s="1"/>
  <c r="C46" i="6"/>
  <c r="G46" i="6" s="1"/>
  <c r="C63" i="6"/>
  <c r="G63" i="6" s="1"/>
  <c r="C79" i="6"/>
  <c r="G79" i="6" s="1"/>
  <c r="C95" i="6"/>
  <c r="G95" i="6" s="1"/>
  <c r="C89" i="6"/>
  <c r="G89" i="6" s="1"/>
  <c r="C68" i="6"/>
  <c r="G68" i="6" s="1"/>
  <c r="C45" i="6"/>
  <c r="G45" i="6" s="1"/>
  <c r="C24" i="6"/>
  <c r="G24" i="6" s="1"/>
  <c r="C3" i="6"/>
  <c r="C82" i="6"/>
  <c r="G82" i="6" s="1"/>
  <c r="C61" i="6"/>
  <c r="G61" i="6" s="1"/>
  <c r="C39" i="6"/>
  <c r="G39" i="6" s="1"/>
  <c r="C17" i="6"/>
  <c r="G17" i="6" s="1"/>
  <c r="C92" i="6"/>
  <c r="G92" i="6" s="1"/>
  <c r="C70" i="6"/>
  <c r="G70" i="6" s="1"/>
  <c r="C48" i="6"/>
  <c r="G48" i="6" s="1"/>
  <c r="C27" i="6"/>
  <c r="G27" i="6" s="1"/>
  <c r="C5" i="6"/>
  <c r="G5" i="6" s="1"/>
  <c r="C36" i="6"/>
  <c r="G36" i="6" s="1"/>
  <c r="C52" i="6"/>
  <c r="G52" i="6" s="1"/>
  <c r="C20" i="6"/>
  <c r="C85" i="6"/>
  <c r="G85" i="6" s="1"/>
  <c r="C102" i="1"/>
  <c r="C181" i="1"/>
  <c r="C193" i="1"/>
  <c r="C39" i="1"/>
  <c r="C38" i="1"/>
  <c r="N43" i="6" l="1"/>
  <c r="O43" i="6" s="1"/>
  <c r="M72" i="6"/>
  <c r="L10" i="6"/>
  <c r="M10" i="6" s="1"/>
  <c r="M7" i="6"/>
  <c r="N7" i="6"/>
  <c r="O7" i="6" s="1"/>
  <c r="N59" i="6"/>
  <c r="O59" i="6" s="1"/>
  <c r="M59" i="6"/>
  <c r="N12" i="6"/>
  <c r="O12" i="6" s="1"/>
  <c r="L2" i="6"/>
  <c r="M2" i="6" s="1"/>
  <c r="L38" i="6"/>
  <c r="N38" i="6" s="1"/>
  <c r="O38" i="6" s="1"/>
  <c r="M67" i="6"/>
  <c r="L66" i="6"/>
  <c r="M66" i="6" s="1"/>
  <c r="H66" i="6"/>
  <c r="H71" i="6"/>
  <c r="L71" i="6"/>
  <c r="H94" i="6"/>
  <c r="L94" i="6"/>
  <c r="N94" i="6" s="1"/>
  <c r="O94" i="6" s="1"/>
  <c r="H88" i="6"/>
  <c r="L88" i="6"/>
  <c r="H4" i="6"/>
  <c r="L4" i="6"/>
  <c r="H73" i="6"/>
  <c r="N10" i="6"/>
  <c r="O10" i="6" s="1"/>
  <c r="H32" i="6"/>
  <c r="H10" i="6"/>
  <c r="H2" i="6"/>
  <c r="H33" i="6"/>
  <c r="L33" i="6"/>
  <c r="M64" i="6"/>
  <c r="N64" i="6"/>
  <c r="O64" i="6" s="1"/>
  <c r="L8" i="6"/>
  <c r="H8" i="6"/>
  <c r="H11" i="6"/>
  <c r="L11" i="6"/>
  <c r="N77" i="6"/>
  <c r="O77" i="6" s="1"/>
  <c r="M77" i="6"/>
  <c r="H26" i="6"/>
  <c r="L26" i="6"/>
  <c r="M65" i="6"/>
  <c r="N65" i="6"/>
  <c r="O65" i="6" s="1"/>
  <c r="G20" i="6"/>
  <c r="G3" i="6"/>
  <c r="L3" i="6" s="1"/>
  <c r="N90" i="6"/>
  <c r="O90" i="6" s="1"/>
  <c r="L101" i="6"/>
  <c r="M101" i="6" s="1"/>
  <c r="H58" i="6"/>
  <c r="L58" i="6"/>
  <c r="H96" i="6"/>
  <c r="M41" i="6"/>
  <c r="G14" i="6"/>
  <c r="M84" i="6"/>
  <c r="N84" i="6"/>
  <c r="O84" i="6" s="1"/>
  <c r="M29" i="6"/>
  <c r="N29" i="6"/>
  <c r="O29" i="6" s="1"/>
  <c r="N40" i="6"/>
  <c r="O40" i="6" s="1"/>
  <c r="M40" i="6"/>
  <c r="M44" i="6"/>
  <c r="N44" i="6"/>
  <c r="O44" i="6" s="1"/>
  <c r="L98" i="6"/>
  <c r="H98" i="6"/>
  <c r="L37" i="6"/>
  <c r="H37" i="6"/>
  <c r="L60" i="6"/>
  <c r="H60" i="6"/>
  <c r="M74" i="6"/>
  <c r="N74" i="6"/>
  <c r="O74" i="6" s="1"/>
  <c r="L47" i="6"/>
  <c r="H47" i="6"/>
  <c r="L83" i="6"/>
  <c r="H83" i="6"/>
  <c r="N54" i="6"/>
  <c r="O54" i="6" s="1"/>
  <c r="M54" i="6"/>
  <c r="M42" i="6"/>
  <c r="N42" i="6"/>
  <c r="O42" i="6" s="1"/>
  <c r="M55" i="6"/>
  <c r="N55" i="6"/>
  <c r="O55" i="6" s="1"/>
  <c r="N18" i="6"/>
  <c r="O18" i="6" s="1"/>
  <c r="M18" i="6"/>
  <c r="H87" i="6"/>
  <c r="L21" i="6"/>
  <c r="H21" i="6"/>
  <c r="L34" i="6"/>
  <c r="H34" i="6"/>
  <c r="L35" i="6"/>
  <c r="H35" i="6"/>
  <c r="M32" i="6"/>
  <c r="N32" i="6"/>
  <c r="O32" i="6" s="1"/>
  <c r="M23" i="6"/>
  <c r="N23" i="6"/>
  <c r="O23" i="6" s="1"/>
  <c r="M76" i="6"/>
  <c r="N76" i="6"/>
  <c r="O76" i="6" s="1"/>
  <c r="H57" i="6"/>
  <c r="L57" i="6"/>
  <c r="L22" i="6"/>
  <c r="H22" i="6"/>
  <c r="H86" i="6"/>
  <c r="L86" i="6"/>
  <c r="N99" i="6"/>
  <c r="O99" i="6" s="1"/>
  <c r="M99" i="6"/>
  <c r="L81" i="6"/>
  <c r="H81" i="6"/>
  <c r="M73" i="6"/>
  <c r="N73" i="6"/>
  <c r="O73" i="6" s="1"/>
  <c r="N50" i="6"/>
  <c r="O50" i="6" s="1"/>
  <c r="M50" i="6"/>
  <c r="N69" i="6"/>
  <c r="O69" i="6" s="1"/>
  <c r="M69" i="6"/>
  <c r="M53" i="6"/>
  <c r="N53" i="6"/>
  <c r="O53" i="6" s="1"/>
  <c r="N62" i="6"/>
  <c r="O62" i="6" s="1"/>
  <c r="M62" i="6"/>
  <c r="N19" i="6"/>
  <c r="O19" i="6" s="1"/>
  <c r="M19" i="6"/>
  <c r="M91" i="6"/>
  <c r="N91" i="6"/>
  <c r="O91" i="6" s="1"/>
  <c r="L36" i="6"/>
  <c r="H36" i="6"/>
  <c r="H61" i="6"/>
  <c r="L61" i="6"/>
  <c r="L79" i="6"/>
  <c r="H79" i="6"/>
  <c r="H85" i="6"/>
  <c r="L85" i="6"/>
  <c r="H92" i="6"/>
  <c r="L92" i="6"/>
  <c r="H68" i="6"/>
  <c r="L68" i="6"/>
  <c r="H56" i="6"/>
  <c r="L56" i="6"/>
  <c r="N96" i="6"/>
  <c r="O96" i="6" s="1"/>
  <c r="M96" i="6"/>
  <c r="N6" i="6"/>
  <c r="O6" i="6" s="1"/>
  <c r="M6" i="6"/>
  <c r="N31" i="6"/>
  <c r="O31" i="6" s="1"/>
  <c r="M31" i="6"/>
  <c r="L27" i="6"/>
  <c r="H27" i="6"/>
  <c r="H17" i="6"/>
  <c r="L17" i="6"/>
  <c r="L89" i="6"/>
  <c r="H89" i="6"/>
  <c r="H52" i="6"/>
  <c r="L52" i="6"/>
  <c r="L48" i="6"/>
  <c r="H48" i="6"/>
  <c r="L39" i="6"/>
  <c r="H39" i="6"/>
  <c r="H24" i="6"/>
  <c r="L24" i="6"/>
  <c r="H95" i="6"/>
  <c r="L95" i="6"/>
  <c r="H30" i="6"/>
  <c r="L30" i="6"/>
  <c r="M100" i="6"/>
  <c r="N100" i="6"/>
  <c r="O100" i="6" s="1"/>
  <c r="N75" i="6"/>
  <c r="O75" i="6" s="1"/>
  <c r="M75" i="6"/>
  <c r="M13" i="6"/>
  <c r="N13" i="6"/>
  <c r="O13" i="6" s="1"/>
  <c r="H70" i="6"/>
  <c r="L70" i="6"/>
  <c r="L45" i="6"/>
  <c r="H45" i="6"/>
  <c r="H14" i="6"/>
  <c r="L14" i="6"/>
  <c r="M9" i="6"/>
  <c r="N9" i="6"/>
  <c r="O9" i="6" s="1"/>
  <c r="L5" i="6"/>
  <c r="H5" i="6"/>
  <c r="L82" i="6"/>
  <c r="H82" i="6"/>
  <c r="L63" i="6"/>
  <c r="H63" i="6"/>
  <c r="M93" i="6"/>
  <c r="N93" i="6"/>
  <c r="O93" i="6" s="1"/>
  <c r="M78" i="6"/>
  <c r="N78" i="6"/>
  <c r="O78" i="6" s="1"/>
  <c r="M97" i="6"/>
  <c r="N97" i="6"/>
  <c r="O97" i="6" s="1"/>
  <c r="M28" i="6"/>
  <c r="N28" i="6"/>
  <c r="O28" i="6" s="1"/>
  <c r="N80" i="6"/>
  <c r="O80" i="6" s="1"/>
  <c r="M80" i="6"/>
  <c r="L20" i="6"/>
  <c r="H20" i="6"/>
  <c r="L46" i="6"/>
  <c r="H46" i="6"/>
  <c r="M25" i="6"/>
  <c r="N25" i="6"/>
  <c r="O25" i="6" s="1"/>
  <c r="N15" i="6"/>
  <c r="O15" i="6" s="1"/>
  <c r="M15" i="6"/>
  <c r="M87" i="6"/>
  <c r="N87" i="6"/>
  <c r="O87" i="6" s="1"/>
  <c r="N16" i="6"/>
  <c r="O16" i="6" s="1"/>
  <c r="M16" i="6"/>
  <c r="N49" i="6"/>
  <c r="O49" i="6" s="1"/>
  <c r="M49" i="6"/>
  <c r="C117" i="1"/>
  <c r="C103" i="1"/>
  <c r="C104" i="1" s="1"/>
  <c r="C41" i="1"/>
  <c r="C40" i="1"/>
  <c r="C60" i="1"/>
  <c r="E60" i="1" s="1"/>
  <c r="C42" i="1"/>
  <c r="N66" i="6" l="1"/>
  <c r="O66" i="6" s="1"/>
  <c r="N2" i="6"/>
  <c r="O2" i="6" s="1"/>
  <c r="M38" i="6"/>
  <c r="N101" i="6"/>
  <c r="O101" i="6" s="1"/>
  <c r="M94" i="6"/>
  <c r="N11" i="6"/>
  <c r="O11" i="6" s="1"/>
  <c r="M11" i="6"/>
  <c r="M88" i="6"/>
  <c r="N88" i="6"/>
  <c r="O88" i="6" s="1"/>
  <c r="H3" i="6"/>
  <c r="M33" i="6"/>
  <c r="N33" i="6"/>
  <c r="O33" i="6" s="1"/>
  <c r="M4" i="6"/>
  <c r="N4" i="6"/>
  <c r="O4" i="6" s="1"/>
  <c r="N58" i="6"/>
  <c r="O58" i="6" s="1"/>
  <c r="M58" i="6"/>
  <c r="M26" i="6"/>
  <c r="N26" i="6"/>
  <c r="O26" i="6" s="1"/>
  <c r="M71" i="6"/>
  <c r="N71" i="6"/>
  <c r="O71" i="6" s="1"/>
  <c r="N8" i="6"/>
  <c r="O8" i="6" s="1"/>
  <c r="M8" i="6"/>
  <c r="N81" i="6"/>
  <c r="O81" i="6" s="1"/>
  <c r="M81" i="6"/>
  <c r="M35" i="6"/>
  <c r="N35" i="6"/>
  <c r="O35" i="6" s="1"/>
  <c r="M21" i="6"/>
  <c r="N21" i="6"/>
  <c r="O21" i="6" s="1"/>
  <c r="M83" i="6"/>
  <c r="N83" i="6"/>
  <c r="O83" i="6" s="1"/>
  <c r="N37" i="6"/>
  <c r="O37" i="6" s="1"/>
  <c r="M37" i="6"/>
  <c r="N22" i="6"/>
  <c r="O22" i="6" s="1"/>
  <c r="M22" i="6"/>
  <c r="N34" i="6"/>
  <c r="O34" i="6" s="1"/>
  <c r="M34" i="6"/>
  <c r="N86" i="6"/>
  <c r="O86" i="6" s="1"/>
  <c r="M86" i="6"/>
  <c r="N57" i="6"/>
  <c r="O57" i="6" s="1"/>
  <c r="M57" i="6"/>
  <c r="M47" i="6"/>
  <c r="N47" i="6"/>
  <c r="O47" i="6" s="1"/>
  <c r="N60" i="6"/>
  <c r="O60" i="6" s="1"/>
  <c r="M60" i="6"/>
  <c r="M98" i="6"/>
  <c r="N98" i="6"/>
  <c r="O98" i="6" s="1"/>
  <c r="N30" i="6"/>
  <c r="O30" i="6" s="1"/>
  <c r="M30" i="6"/>
  <c r="M56" i="6"/>
  <c r="N56" i="6"/>
  <c r="O56" i="6" s="1"/>
  <c r="M61" i="6"/>
  <c r="N61" i="6"/>
  <c r="O61" i="6" s="1"/>
  <c r="N3" i="6"/>
  <c r="O3" i="6" s="1"/>
  <c r="M3" i="6"/>
  <c r="M82" i="6"/>
  <c r="N82" i="6"/>
  <c r="O82" i="6" s="1"/>
  <c r="M48" i="6"/>
  <c r="N48" i="6"/>
  <c r="O48" i="6" s="1"/>
  <c r="N27" i="6"/>
  <c r="O27" i="6" s="1"/>
  <c r="M27" i="6"/>
  <c r="M14" i="6"/>
  <c r="N14" i="6"/>
  <c r="O14" i="6" s="1"/>
  <c r="M70" i="6"/>
  <c r="N70" i="6"/>
  <c r="O70" i="6" s="1"/>
  <c r="M95" i="6"/>
  <c r="N95" i="6"/>
  <c r="O95" i="6" s="1"/>
  <c r="N52" i="6"/>
  <c r="O52" i="6" s="1"/>
  <c r="M52" i="6"/>
  <c r="M17" i="6"/>
  <c r="N17" i="6"/>
  <c r="O17" i="6" s="1"/>
  <c r="N68" i="6"/>
  <c r="O68" i="6" s="1"/>
  <c r="M68" i="6"/>
  <c r="N85" i="6"/>
  <c r="O85" i="6" s="1"/>
  <c r="M85" i="6"/>
  <c r="N24" i="6"/>
  <c r="O24" i="6" s="1"/>
  <c r="M24" i="6"/>
  <c r="M92" i="6"/>
  <c r="N92" i="6"/>
  <c r="O92" i="6" s="1"/>
  <c r="N45" i="6"/>
  <c r="O45" i="6" s="1"/>
  <c r="M45" i="6"/>
  <c r="N89" i="6"/>
  <c r="O89" i="6" s="1"/>
  <c r="M89" i="6"/>
  <c r="M46" i="6"/>
  <c r="N46" i="6"/>
  <c r="O46" i="6" s="1"/>
  <c r="M20" i="6"/>
  <c r="N20" i="6"/>
  <c r="O20" i="6" s="1"/>
  <c r="M63" i="6"/>
  <c r="N63" i="6"/>
  <c r="O63" i="6" s="1"/>
  <c r="N5" i="6"/>
  <c r="O5" i="6" s="1"/>
  <c r="M5" i="6"/>
  <c r="M39" i="6"/>
  <c r="N39" i="6"/>
  <c r="O39" i="6" s="1"/>
  <c r="N79" i="6"/>
  <c r="O79" i="6" s="1"/>
  <c r="M79" i="6"/>
  <c r="N36" i="6"/>
  <c r="O36" i="6" s="1"/>
  <c r="M36" i="6"/>
  <c r="C105" i="1"/>
  <c r="C108" i="1" s="1"/>
  <c r="C116" i="1"/>
  <c r="C43" i="1"/>
  <c r="C63" i="1" l="1"/>
  <c r="C57" i="1"/>
  <c r="C48" i="1"/>
  <c r="C49" i="1" s="1"/>
  <c r="C58" i="1" l="1"/>
  <c r="E49" i="1"/>
  <c r="C64" i="1" l="1"/>
  <c r="E58" i="1"/>
  <c r="C71" i="1" l="1"/>
  <c r="E64" i="1"/>
  <c r="E71" i="1" l="1"/>
  <c r="C83" i="1"/>
  <c r="E83" i="1" l="1"/>
  <c r="C97" i="1"/>
  <c r="C109" i="1" l="1"/>
  <c r="E109" i="1" s="1"/>
  <c r="E97" i="1"/>
</calcChain>
</file>

<file path=xl/sharedStrings.xml><?xml version="1.0" encoding="utf-8"?>
<sst xmlns="http://schemas.openxmlformats.org/spreadsheetml/2006/main" count="617" uniqueCount="339">
  <si>
    <t>UCC28950 Excel Design Tool</t>
  </si>
  <si>
    <t>This spreadsheet guides the User through the design process for a CONTINUOUS CONDUCTION MODE PFC BOOST converter using the UCC28019 controller.</t>
  </si>
  <si>
    <t>1. The Macros must be ENABLED.</t>
  </si>
  <si>
    <t>2. The Analysis ToolPak Add-In must be checked.</t>
  </si>
  <si>
    <t>• This feature can be found in the Tools Menu.</t>
  </si>
  <si>
    <t>• Select Add-Ins</t>
  </si>
  <si>
    <t>• Check the box next to Analysis ToolPak</t>
  </si>
  <si>
    <t>3. Enter the desired design parameters in the YELLOW shaded boxes</t>
  </si>
  <si>
    <t>5. Actual standard values must be entered for the spreadsheet to calculate the gain-phase plots.</t>
  </si>
  <si>
    <t>Design Specifications</t>
  </si>
  <si>
    <t>Description</t>
  </si>
  <si>
    <t xml:space="preserve">Minimum </t>
  </si>
  <si>
    <t>Maximum</t>
  </si>
  <si>
    <t xml:space="preserve">Typical </t>
  </si>
  <si>
    <t>Input Voltage</t>
  </si>
  <si>
    <t>Output Voltage</t>
  </si>
  <si>
    <t>Allowable Output Voltage
Transients (90% Load Step)</t>
  </si>
  <si>
    <t>Unit</t>
  </si>
  <si>
    <t>V</t>
  </si>
  <si>
    <t>W</t>
  </si>
  <si>
    <t xml:space="preserve"> </t>
  </si>
  <si>
    <t>kHz</t>
  </si>
  <si>
    <r>
      <t>Output Power (P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</t>
    </r>
  </si>
  <si>
    <r>
      <t>Inductor (L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 Switching Frequency</t>
    </r>
  </si>
  <si>
    <t>Full Load Efficiency</t>
  </si>
  <si>
    <r>
      <t>P</t>
    </r>
    <r>
      <rPr>
        <b/>
        <vertAlign val="subscript"/>
        <sz val="12"/>
        <rFont val="Arial"/>
        <family val="2"/>
      </rPr>
      <t>BUDGET</t>
    </r>
  </si>
  <si>
    <r>
      <t>V</t>
    </r>
    <r>
      <rPr>
        <b/>
        <vertAlign val="subscript"/>
        <sz val="12"/>
        <rFont val="Arial"/>
        <family val="2"/>
      </rPr>
      <t>RDSON</t>
    </r>
  </si>
  <si>
    <t>a1</t>
  </si>
  <si>
    <t>Variable</t>
  </si>
  <si>
    <r>
      <t>T1 Transformer Turns Ratio=N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/N</t>
    </r>
    <r>
      <rPr>
        <b/>
        <vertAlign val="subscript"/>
        <sz val="12"/>
        <rFont val="Arial"/>
        <family val="2"/>
      </rPr>
      <t>S</t>
    </r>
  </si>
  <si>
    <t>Maximum Duty Cycle Nominal</t>
  </si>
  <si>
    <t>Typical Duty Cycle</t>
  </si>
  <si>
    <r>
      <t>D</t>
    </r>
    <r>
      <rPr>
        <b/>
        <vertAlign val="subscript"/>
        <sz val="12"/>
        <rFont val="Arial"/>
        <family val="2"/>
      </rPr>
      <t>MAX</t>
    </r>
  </si>
  <si>
    <r>
      <t>D</t>
    </r>
    <r>
      <rPr>
        <b/>
        <vertAlign val="subscript"/>
        <sz val="12"/>
        <rFont val="Arial"/>
        <family val="2"/>
      </rPr>
      <t>TYP</t>
    </r>
  </si>
  <si>
    <t>Inductor Ripple Current</t>
  </si>
  <si>
    <t>A</t>
  </si>
  <si>
    <r>
      <t>L</t>
    </r>
    <r>
      <rPr>
        <b/>
        <vertAlign val="subscript"/>
        <sz val="12"/>
        <rFont val="Arial"/>
        <family val="2"/>
      </rPr>
      <t>MAG</t>
    </r>
  </si>
  <si>
    <t>mH</t>
  </si>
  <si>
    <r>
      <t>I</t>
    </r>
    <r>
      <rPr>
        <b/>
        <vertAlign val="subscript"/>
        <sz val="12"/>
        <rFont val="Arial"/>
        <family val="2"/>
      </rPr>
      <t>PS</t>
    </r>
  </si>
  <si>
    <r>
      <t>I</t>
    </r>
    <r>
      <rPr>
        <b/>
        <vertAlign val="subscript"/>
        <sz val="12"/>
        <rFont val="Arial"/>
        <family val="2"/>
      </rPr>
      <t>MS</t>
    </r>
  </si>
  <si>
    <r>
      <t>I</t>
    </r>
    <r>
      <rPr>
        <b/>
        <vertAlign val="subscript"/>
        <sz val="12"/>
        <rFont val="Arial"/>
        <family val="2"/>
      </rPr>
      <t>SRMS1</t>
    </r>
  </si>
  <si>
    <r>
      <t>I</t>
    </r>
    <r>
      <rPr>
        <b/>
        <vertAlign val="subscript"/>
        <sz val="12"/>
        <rFont val="Arial"/>
        <family val="2"/>
      </rPr>
      <t>MS2</t>
    </r>
  </si>
  <si>
    <r>
      <t>I</t>
    </r>
    <r>
      <rPr>
        <b/>
        <vertAlign val="subscript"/>
        <sz val="12"/>
        <rFont val="Arial"/>
        <family val="2"/>
      </rPr>
      <t>SRMS2</t>
    </r>
  </si>
  <si>
    <r>
      <t>I</t>
    </r>
    <r>
      <rPr>
        <b/>
        <vertAlign val="subscript"/>
        <sz val="12"/>
        <rFont val="Arial"/>
        <family val="2"/>
      </rPr>
      <t>SRMS3</t>
    </r>
  </si>
  <si>
    <r>
      <t>I</t>
    </r>
    <r>
      <rPr>
        <b/>
        <vertAlign val="subscript"/>
        <sz val="12"/>
        <rFont val="Arial"/>
        <family val="2"/>
      </rPr>
      <t>SRMS</t>
    </r>
  </si>
  <si>
    <r>
      <t>dIL</t>
    </r>
    <r>
      <rPr>
        <b/>
        <vertAlign val="subscript"/>
        <sz val="12"/>
        <rFont val="Arial"/>
        <family val="2"/>
      </rPr>
      <t>MAG</t>
    </r>
  </si>
  <si>
    <r>
      <t>I</t>
    </r>
    <r>
      <rPr>
        <b/>
        <vertAlign val="subscript"/>
        <sz val="12"/>
        <rFont val="Arial"/>
        <family val="2"/>
      </rPr>
      <t>PP</t>
    </r>
  </si>
  <si>
    <r>
      <t>I</t>
    </r>
    <r>
      <rPr>
        <b/>
        <vertAlign val="subscript"/>
        <sz val="12"/>
        <rFont val="Arial"/>
        <family val="2"/>
      </rPr>
      <t>MP</t>
    </r>
  </si>
  <si>
    <r>
      <t>I</t>
    </r>
    <r>
      <rPr>
        <b/>
        <vertAlign val="subscript"/>
        <sz val="12"/>
        <rFont val="Arial"/>
        <family val="2"/>
      </rPr>
      <t>MP2</t>
    </r>
  </si>
  <si>
    <r>
      <t>I</t>
    </r>
    <r>
      <rPr>
        <b/>
        <vertAlign val="subscript"/>
        <sz val="12"/>
        <rFont val="Arial"/>
        <family val="2"/>
      </rPr>
      <t>PRMS1</t>
    </r>
  </si>
  <si>
    <r>
      <t>I</t>
    </r>
    <r>
      <rPr>
        <b/>
        <vertAlign val="subscript"/>
        <sz val="12"/>
        <rFont val="Arial"/>
        <family val="2"/>
      </rPr>
      <t>PRMS2</t>
    </r>
  </si>
  <si>
    <r>
      <t>DCR</t>
    </r>
    <r>
      <rPr>
        <b/>
        <vertAlign val="subscript"/>
        <sz val="12"/>
        <rFont val="Arial"/>
        <family val="2"/>
      </rPr>
      <t>P</t>
    </r>
  </si>
  <si>
    <r>
      <t>I</t>
    </r>
    <r>
      <rPr>
        <b/>
        <vertAlign val="subscript"/>
        <sz val="12"/>
        <rFont val="Arial"/>
        <family val="2"/>
      </rPr>
      <t>PRMS</t>
    </r>
  </si>
  <si>
    <r>
      <t>DCR</t>
    </r>
    <r>
      <rPr>
        <b/>
        <vertAlign val="subscript"/>
        <sz val="12"/>
        <rFont val="Arial"/>
        <family val="2"/>
      </rPr>
      <t>S</t>
    </r>
  </si>
  <si>
    <r>
      <t>P</t>
    </r>
    <r>
      <rPr>
        <b/>
        <vertAlign val="subscript"/>
        <sz val="12"/>
        <rFont val="Arial"/>
        <family val="2"/>
      </rPr>
      <t>T1</t>
    </r>
  </si>
  <si>
    <t>Transformer Primary DC Resistance</t>
  </si>
  <si>
    <t>Transformer Secondary DC Resistance</t>
  </si>
  <si>
    <t>Estimated transform loss, 2X Copper Losses</t>
  </si>
  <si>
    <t>Recalculate Power Budget</t>
  </si>
  <si>
    <t>QA, QB, QC, QD FET selection:</t>
  </si>
  <si>
    <r>
      <t>R</t>
    </r>
    <r>
      <rPr>
        <b/>
        <vertAlign val="subscript"/>
        <sz val="12"/>
        <rFont val="Arial"/>
        <family val="2"/>
      </rPr>
      <t>ds(on)QA</t>
    </r>
  </si>
  <si>
    <t>FET drain to source on resistance</t>
  </si>
  <si>
    <t>FET Specified Coss</t>
  </si>
  <si>
    <t>pF</t>
  </si>
  <si>
    <r>
      <t>C</t>
    </r>
    <r>
      <rPr>
        <b/>
        <vertAlign val="subscript"/>
        <sz val="12"/>
        <rFont val="Arial"/>
        <family val="2"/>
      </rPr>
      <t>OSS_QA_SPEC</t>
    </r>
  </si>
  <si>
    <r>
      <t>V</t>
    </r>
    <r>
      <rPr>
        <b/>
        <vertAlign val="subscript"/>
        <sz val="12"/>
        <rFont val="Arial"/>
        <family val="2"/>
      </rPr>
      <t>dsQA</t>
    </r>
  </si>
  <si>
    <r>
      <t>Calculate average C</t>
    </r>
    <r>
      <rPr>
        <b/>
        <vertAlign val="subscript"/>
        <sz val="12"/>
        <rFont val="Arial"/>
        <family val="2"/>
      </rPr>
      <t xml:space="preserve">OSS </t>
    </r>
  </si>
  <si>
    <r>
      <t>C</t>
    </r>
    <r>
      <rPr>
        <b/>
        <vertAlign val="subscript"/>
        <sz val="12"/>
        <rFont val="Arial"/>
        <family val="2"/>
      </rPr>
      <t>OSS_QA_AVG</t>
    </r>
  </si>
  <si>
    <r>
      <t>P</t>
    </r>
    <r>
      <rPr>
        <b/>
        <vertAlign val="subscript"/>
        <sz val="12"/>
        <rFont val="Arial"/>
        <family val="2"/>
      </rPr>
      <t>QA</t>
    </r>
  </si>
  <si>
    <t xml:space="preserve">Calculate QA losses </t>
  </si>
  <si>
    <r>
      <t>V</t>
    </r>
    <r>
      <rPr>
        <b/>
        <vertAlign val="subscript"/>
        <sz val="12"/>
        <rFont val="Arial"/>
        <family val="2"/>
      </rPr>
      <t>g</t>
    </r>
  </si>
  <si>
    <r>
      <t>QA</t>
    </r>
    <r>
      <rPr>
        <b/>
        <vertAlign val="subscript"/>
        <sz val="12"/>
        <rFont val="Arial"/>
        <family val="2"/>
      </rPr>
      <t>g</t>
    </r>
  </si>
  <si>
    <t>nC</t>
  </si>
  <si>
    <t>Primary Magnetizing Inductance</t>
  </si>
  <si>
    <r>
      <t>L</t>
    </r>
    <r>
      <rPr>
        <b/>
        <vertAlign val="subscript"/>
        <sz val="12"/>
        <rFont val="Arial"/>
        <family val="2"/>
      </rPr>
      <t>S</t>
    </r>
  </si>
  <si>
    <t>uH</t>
  </si>
  <si>
    <r>
      <t>DCR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</si>
  <si>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DC Resistance</t>
    </r>
  </si>
  <si>
    <r>
      <t>Estimate L</t>
    </r>
    <r>
      <rPr>
        <b/>
        <vertAlign val="subscript"/>
        <sz val="12"/>
        <rFont val="Arial"/>
        <family val="2"/>
      </rPr>
      <t xml:space="preserve">S </t>
    </r>
    <r>
      <rPr>
        <b/>
        <sz val="12"/>
        <rFont val="Arial"/>
        <family val="2"/>
      </rPr>
      <t>power loss (P</t>
    </r>
    <r>
      <rPr>
        <b/>
        <vertAlign val="subscript"/>
        <sz val="12"/>
        <rFont val="Arial"/>
        <family val="2"/>
      </rPr>
      <t>LS</t>
    </r>
    <r>
      <rPr>
        <b/>
        <sz val="12"/>
        <rFont val="Arial"/>
        <family val="2"/>
      </rPr>
      <t xml:space="preserve">) </t>
    </r>
  </si>
  <si>
    <r>
      <t>P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</si>
  <si>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OUT</t>
    </r>
  </si>
  <si>
    <r>
      <t>DCR</t>
    </r>
    <r>
      <rPr>
        <b/>
        <vertAlign val="subscript"/>
        <sz val="12"/>
        <rFont val="Arial"/>
        <family val="2"/>
      </rPr>
      <t>LOUT</t>
    </r>
  </si>
  <si>
    <r>
      <t>Estimate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power loss</t>
    </r>
  </si>
  <si>
    <r>
      <t>P</t>
    </r>
    <r>
      <rPr>
        <b/>
        <vertAlign val="subscript"/>
        <sz val="12"/>
        <rFont val="Arial"/>
        <family val="2"/>
      </rPr>
      <t>LOUT</t>
    </r>
  </si>
  <si>
    <r>
      <t>Calculate 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</si>
  <si>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LOUT_RMS</t>
    </r>
  </si>
  <si>
    <t>Calculated Shim Inductance</t>
  </si>
  <si>
    <t>Calculate Output Inductance</t>
  </si>
  <si>
    <r>
      <t>t</t>
    </r>
    <r>
      <rPr>
        <b/>
        <vertAlign val="subscript"/>
        <sz val="12"/>
        <rFont val="Arial"/>
        <family val="2"/>
      </rPr>
      <t>HU</t>
    </r>
  </si>
  <si>
    <r>
      <t>Time it takes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to change 90% of its full load current</t>
    </r>
  </si>
  <si>
    <t>us</t>
  </si>
  <si>
    <r>
      <t>ESR</t>
    </r>
    <r>
      <rPr>
        <b/>
        <vertAlign val="subscript"/>
        <sz val="12"/>
        <rFont val="Arial"/>
        <family val="2"/>
      </rPr>
      <t>COUT</t>
    </r>
  </si>
  <si>
    <r>
      <t>C</t>
    </r>
    <r>
      <rPr>
        <b/>
        <vertAlign val="subscript"/>
        <sz val="12"/>
        <rFont val="Arial"/>
        <family val="2"/>
      </rPr>
      <t>OUT</t>
    </r>
  </si>
  <si>
    <t>uF</t>
  </si>
  <si>
    <t>n</t>
  </si>
  <si>
    <t>Single Capacitor Capacitance</t>
  </si>
  <si>
    <t>Single Capacitor ESR</t>
  </si>
  <si>
    <t>Total Output Capacitance</t>
  </si>
  <si>
    <r>
      <t>I</t>
    </r>
    <r>
      <rPr>
        <b/>
        <vertAlign val="subscript"/>
        <sz val="12"/>
        <rFont val="Arial"/>
        <family val="2"/>
      </rPr>
      <t>COUT_RMS</t>
    </r>
  </si>
  <si>
    <t>Output Capacitance RMS Current</t>
  </si>
  <si>
    <t>Calculate Output Capacitance Loss</t>
  </si>
  <si>
    <r>
      <t>P</t>
    </r>
    <r>
      <rPr>
        <b/>
        <vertAlign val="subscript"/>
        <sz val="12"/>
        <rFont val="Arial"/>
        <family val="2"/>
      </rPr>
      <t>COUT</t>
    </r>
  </si>
  <si>
    <r>
      <t>V</t>
    </r>
    <r>
      <rPr>
        <b/>
        <vertAlign val="subscript"/>
        <sz val="12"/>
        <rFont val="Arial"/>
        <family val="2"/>
      </rPr>
      <t>DROP</t>
    </r>
  </si>
  <si>
    <t>Minimum Input During Line Dropout</t>
  </si>
  <si>
    <r>
      <t>C</t>
    </r>
    <r>
      <rPr>
        <b/>
        <vertAlign val="subscript"/>
        <sz val="12"/>
        <rFont val="Arial"/>
        <family val="2"/>
      </rPr>
      <t>IN</t>
    </r>
  </si>
  <si>
    <t>Calculate Minimum Input Capacitance</t>
  </si>
  <si>
    <r>
      <t>High Frequency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</si>
  <si>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CINRMS</t>
    </r>
  </si>
  <si>
    <r>
      <t>ESR</t>
    </r>
    <r>
      <rPr>
        <b/>
        <vertAlign val="subscript"/>
        <sz val="12"/>
        <rFont val="Arial"/>
        <family val="2"/>
      </rPr>
      <t>CIN</t>
    </r>
  </si>
  <si>
    <r>
      <t>P</t>
    </r>
    <r>
      <rPr>
        <b/>
        <vertAlign val="subscript"/>
        <sz val="12"/>
        <rFont val="Arial"/>
        <family val="2"/>
      </rPr>
      <t>CIN</t>
    </r>
  </si>
  <si>
    <t>Select FETs QE and QF:</t>
  </si>
  <si>
    <r>
      <t>QE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</si>
  <si>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ds(on)QE</t>
    </r>
  </si>
  <si>
    <t>QE and QF Gate Charge</t>
  </si>
  <si>
    <t xml:space="preserve">Set Initial Power Budget </t>
  </si>
  <si>
    <t>Estimated FET Voltage Drop</t>
  </si>
  <si>
    <t>QA FET Gate Charge</t>
  </si>
  <si>
    <r>
      <t>Voltage Across Drain to Source Where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color indexed="8"/>
        <rFont val="Arial"/>
        <family val="2"/>
      </rPr>
      <t>was Measured, Data Sheet Parameter</t>
    </r>
  </si>
  <si>
    <r>
      <t>V</t>
    </r>
    <r>
      <rPr>
        <b/>
        <vertAlign val="subscript"/>
        <sz val="12"/>
        <rFont val="Arial"/>
        <family val="2"/>
      </rPr>
      <t>dsQE</t>
    </r>
  </si>
  <si>
    <r>
      <t>V</t>
    </r>
    <r>
      <rPr>
        <b/>
        <vertAlign val="subscript"/>
        <sz val="12"/>
        <rFont val="Arial"/>
        <family val="2"/>
      </rPr>
      <t>dsQE_SPEC</t>
    </r>
  </si>
  <si>
    <r>
      <t>Voltage Specified at C</t>
    </r>
    <r>
      <rPr>
        <b/>
        <vertAlign val="subscript"/>
        <sz val="12"/>
        <rFont val="Arial"/>
        <family val="2"/>
      </rPr>
      <t>OSS</t>
    </r>
    <r>
      <rPr>
        <b/>
        <sz val="12"/>
        <rFont val="Arial"/>
        <family val="2"/>
      </rPr>
      <t xml:space="preserve"> Specified in the Data Sheet</t>
    </r>
  </si>
  <si>
    <r>
      <t>C</t>
    </r>
    <r>
      <rPr>
        <b/>
        <vertAlign val="subscript"/>
        <sz val="12"/>
        <rFont val="Arial"/>
        <family val="2"/>
      </rPr>
      <t>OSS_SPEC</t>
    </r>
  </si>
  <si>
    <r>
      <t>Specified QE and QF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rFont val="Arial"/>
        <family val="2"/>
      </rPr>
      <t>From the Data Sheet</t>
    </r>
  </si>
  <si>
    <r>
      <t>C</t>
    </r>
    <r>
      <rPr>
        <b/>
        <vertAlign val="subscript"/>
        <sz val="12"/>
        <rFont val="Arial"/>
        <family val="2"/>
      </rPr>
      <t>OSS_QE_AVG</t>
    </r>
  </si>
  <si>
    <r>
      <t>Average QE and QF C</t>
    </r>
    <r>
      <rPr>
        <b/>
        <vertAlign val="subscript"/>
        <sz val="12"/>
        <rFont val="Arial"/>
        <family val="2"/>
      </rPr>
      <t>OSS</t>
    </r>
  </si>
  <si>
    <t>QE and QF RMS Current</t>
  </si>
  <si>
    <r>
      <t>I</t>
    </r>
    <r>
      <rPr>
        <b/>
        <vertAlign val="subscript"/>
        <sz val="12"/>
        <rFont val="Arial"/>
        <family val="2"/>
      </rPr>
      <t>QE_RMS</t>
    </r>
  </si>
  <si>
    <r>
      <t>QE</t>
    </r>
    <r>
      <rPr>
        <b/>
        <vertAlign val="subscript"/>
        <sz val="12"/>
        <rFont val="Arial"/>
        <family val="2"/>
      </rPr>
      <t>MILLER_MAX</t>
    </r>
  </si>
  <si>
    <r>
      <t>QE</t>
    </r>
    <r>
      <rPr>
        <b/>
        <vertAlign val="subscript"/>
        <sz val="12"/>
        <rFont val="Arial"/>
        <family val="2"/>
      </rPr>
      <t>MILLER_MIN</t>
    </r>
  </si>
  <si>
    <t>Maximum Gate Charge at the end of the Miller Plateau</t>
  </si>
  <si>
    <t>Peak Current Gate of QE and QF is Driven with</t>
  </si>
  <si>
    <r>
      <t>I</t>
    </r>
    <r>
      <rPr>
        <b/>
        <vertAlign val="subscript"/>
        <sz val="12"/>
        <rFont val="Arial"/>
        <family val="2"/>
      </rPr>
      <t>P</t>
    </r>
  </si>
  <si>
    <r>
      <t>t</t>
    </r>
    <r>
      <rPr>
        <b/>
        <vertAlign val="subscript"/>
        <sz val="12"/>
        <rFont val="Arial"/>
        <family val="2"/>
      </rPr>
      <t>r</t>
    </r>
    <r>
      <rPr>
        <b/>
        <sz val="12"/>
        <rFont val="Arial"/>
        <family val="2"/>
      </rPr>
      <t xml:space="preserve"> ≈ t</t>
    </r>
    <r>
      <rPr>
        <b/>
        <vertAlign val="subscript"/>
        <sz val="12"/>
        <rFont val="Arial"/>
        <family val="2"/>
      </rPr>
      <t>f</t>
    </r>
  </si>
  <si>
    <t>ns</t>
  </si>
  <si>
    <t>Estimate QE FET Losses</t>
  </si>
  <si>
    <r>
      <t>P</t>
    </r>
    <r>
      <rPr>
        <b/>
        <vertAlign val="subscript"/>
        <sz val="12"/>
        <rFont val="Arial"/>
        <family val="2"/>
      </rPr>
      <t>QE</t>
    </r>
  </si>
  <si>
    <t>Maximum Voltage Across QE and QF</t>
  </si>
  <si>
    <t>a2</t>
  </si>
  <si>
    <r>
      <t>Select CT and Enter Turns Ratio a2 = I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/I</t>
    </r>
    <r>
      <rPr>
        <b/>
        <vertAlign val="subscript"/>
        <sz val="12"/>
        <rFont val="Arial"/>
        <family val="2"/>
      </rPr>
      <t>S</t>
    </r>
  </si>
  <si>
    <t>Std. Resistors</t>
  </si>
  <si>
    <t>Capacitors</t>
  </si>
  <si>
    <t>Enter resistor value</t>
  </si>
  <si>
    <t>E6</t>
  </si>
  <si>
    <t>E96</t>
  </si>
  <si>
    <t>Cap value</t>
  </si>
  <si>
    <t>Closest E6 Value</t>
  </si>
  <si>
    <t>Closest E12 Value</t>
  </si>
  <si>
    <t>C values up to 10nF</t>
  </si>
  <si>
    <t>Closest E24 Value</t>
  </si>
  <si>
    <t>Closest E48 Value</t>
  </si>
  <si>
    <t>Closest E96 Value</t>
  </si>
  <si>
    <t>E12</t>
  </si>
  <si>
    <t>C values greater than 10nF</t>
  </si>
  <si>
    <t>E24</t>
  </si>
  <si>
    <t>E48</t>
  </si>
  <si>
    <r>
      <t>R</t>
    </r>
    <r>
      <rPr>
        <b/>
        <vertAlign val="subscript"/>
        <sz val="12"/>
        <rFont val="Arial"/>
        <family val="2"/>
      </rPr>
      <t>S</t>
    </r>
  </si>
  <si>
    <t>Calculate Current Sense Resistor</t>
  </si>
  <si>
    <t>Ω</t>
  </si>
  <si>
    <r>
      <t>I</t>
    </r>
    <r>
      <rPr>
        <b/>
        <vertAlign val="subscript"/>
        <sz val="12"/>
        <rFont val="Arial"/>
        <family val="2"/>
      </rPr>
      <t>P1</t>
    </r>
  </si>
  <si>
    <r>
      <t>Calculate nominal peak current (I</t>
    </r>
    <r>
      <rPr>
        <b/>
        <vertAlign val="subscript"/>
        <sz val="12"/>
        <rFont val="Arial"/>
        <family val="2"/>
      </rPr>
      <t>P1</t>
    </r>
    <r>
      <rPr>
        <b/>
        <sz val="12"/>
        <rFont val="Arial"/>
        <family val="2"/>
      </rPr>
      <t>) at V</t>
    </r>
    <r>
      <rPr>
        <b/>
        <vertAlign val="subscript"/>
        <sz val="12"/>
        <rFont val="Arial"/>
        <family val="2"/>
      </rPr>
      <t>INMIN</t>
    </r>
  </si>
  <si>
    <t>Select Current Sense Resistor for Your Design</t>
  </si>
  <si>
    <t>Estimate Rs Power Loss</t>
  </si>
  <si>
    <r>
      <t>P</t>
    </r>
    <r>
      <rPr>
        <b/>
        <vertAlign val="subscript"/>
        <sz val="12"/>
        <rFont val="Arial"/>
        <family val="2"/>
      </rPr>
      <t>RS</t>
    </r>
  </si>
  <si>
    <r>
      <t>V</t>
    </r>
    <r>
      <rPr>
        <b/>
        <vertAlign val="subscript"/>
        <sz val="12"/>
        <rFont val="Arial"/>
        <family val="2"/>
      </rPr>
      <t>DA</t>
    </r>
  </si>
  <si>
    <r>
      <t>Maximum Diode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Reverse Voltage</t>
    </r>
  </si>
  <si>
    <r>
      <t>t</t>
    </r>
    <r>
      <rPr>
        <b/>
        <vertAlign val="subscript"/>
        <sz val="12"/>
        <rFont val="Arial"/>
        <family val="2"/>
      </rPr>
      <t>DELAY</t>
    </r>
  </si>
  <si>
    <t>fr</t>
  </si>
  <si>
    <t>Calculate Resonant Tank Frequency</t>
  </si>
  <si>
    <t>Possible Delay That will Be Required for ZVS</t>
  </si>
  <si>
    <r>
      <t>D</t>
    </r>
    <r>
      <rPr>
        <b/>
        <vertAlign val="subscript"/>
        <sz val="12"/>
        <rFont val="Arial"/>
        <family val="2"/>
      </rPr>
      <t>CLAMP</t>
    </r>
  </si>
  <si>
    <r>
      <t>t</t>
    </r>
    <r>
      <rPr>
        <b/>
        <vertAlign val="subscript"/>
        <sz val="12"/>
        <rFont val="Arial"/>
        <family val="2"/>
      </rPr>
      <t>DELAY</t>
    </r>
    <r>
      <rPr>
        <b/>
        <sz val="12"/>
        <rFont val="Arial"/>
        <family val="2"/>
      </rPr>
      <t xml:space="preserve"> will act as a duty cycle clamp</t>
    </r>
  </si>
  <si>
    <t>Switching Cycle Period</t>
  </si>
  <si>
    <t>ts</t>
  </si>
  <si>
    <t>Shim Inductance Used</t>
  </si>
  <si>
    <t>Output Inductance Used</t>
  </si>
  <si>
    <t>Selecting Power Transformer (T1)</t>
  </si>
  <si>
    <t>Number of Output Capacitors Used</t>
  </si>
  <si>
    <t>Input Capacitance Used</t>
  </si>
  <si>
    <r>
      <t>Estimate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Losses</t>
    </r>
  </si>
  <si>
    <r>
      <t>P</t>
    </r>
    <r>
      <rPr>
        <b/>
        <vertAlign val="subscript"/>
        <sz val="12"/>
        <rFont val="Arial"/>
        <family val="2"/>
      </rPr>
      <t>DA</t>
    </r>
  </si>
  <si>
    <t>V1</t>
  </si>
  <si>
    <r>
      <t>R</t>
    </r>
    <r>
      <rPr>
        <b/>
        <vertAlign val="subscript"/>
        <sz val="12"/>
        <rFont val="Arial"/>
        <family val="2"/>
      </rPr>
      <t>B</t>
    </r>
  </si>
  <si>
    <t>Select Standard Resistor</t>
  </si>
  <si>
    <r>
      <t>R</t>
    </r>
    <r>
      <rPr>
        <b/>
        <vertAlign val="subscript"/>
        <sz val="12"/>
        <rFont val="Arial"/>
        <family val="2"/>
      </rPr>
      <t>A</t>
    </r>
  </si>
  <si>
    <t>Calculated Resistance</t>
  </si>
  <si>
    <r>
      <t>R</t>
    </r>
    <r>
      <rPr>
        <b/>
        <vertAlign val="subscript"/>
        <sz val="12"/>
        <rFont val="Arial"/>
        <family val="2"/>
      </rPr>
      <t>C</t>
    </r>
  </si>
  <si>
    <r>
      <t>R</t>
    </r>
    <r>
      <rPr>
        <b/>
        <vertAlign val="subscript"/>
        <sz val="12"/>
        <rFont val="Arial"/>
        <family val="2"/>
      </rPr>
      <t>I</t>
    </r>
  </si>
  <si>
    <r>
      <t>f</t>
    </r>
    <r>
      <rPr>
        <b/>
        <vertAlign val="subscript"/>
        <sz val="12"/>
        <rFont val="Arial"/>
        <family val="2"/>
      </rPr>
      <t>C</t>
    </r>
  </si>
  <si>
    <t>Voltage Loop Crossover Frequency</t>
  </si>
  <si>
    <r>
      <t>R</t>
    </r>
    <r>
      <rPr>
        <b/>
        <vertAlign val="subscript"/>
        <sz val="12"/>
        <rFont val="Arial"/>
        <family val="2"/>
      </rPr>
      <t>LOAD</t>
    </r>
  </si>
  <si>
    <t>a1*a2*rload/rs</t>
  </si>
  <si>
    <t>Constant</t>
  </si>
  <si>
    <t>n1/d1</t>
  </si>
  <si>
    <t>n1divd1</t>
  </si>
  <si>
    <t>1/d2</t>
  </si>
  <si>
    <t>n1/(d1*d2)</t>
  </si>
  <si>
    <t>a1*a2*rload/rs*(n1/(d1*d2))</t>
  </si>
  <si>
    <t>absolute maximum(a1*a2*rload/rs*(n1/(d1*d2)))</t>
  </si>
  <si>
    <t>n1</t>
  </si>
  <si>
    <t>|Gco(fc)|</t>
  </si>
  <si>
    <r>
      <t>R</t>
    </r>
    <r>
      <rPr>
        <b/>
        <vertAlign val="subscript"/>
        <sz val="12"/>
        <rFont val="Arial"/>
        <family val="2"/>
      </rPr>
      <t>F</t>
    </r>
  </si>
  <si>
    <t>Calculate Feedback Resistor</t>
  </si>
  <si>
    <r>
      <t>C</t>
    </r>
    <r>
      <rPr>
        <b/>
        <vertAlign val="subscript"/>
        <sz val="12"/>
        <rFont val="Arial"/>
        <family val="2"/>
      </rPr>
      <t>Z</t>
    </r>
  </si>
  <si>
    <t>nF</t>
  </si>
  <si>
    <t>Calculate Pole Capacitor</t>
  </si>
  <si>
    <t>Calculate Zero Capacitor</t>
  </si>
  <si>
    <t>mΩ</t>
  </si>
  <si>
    <t>Output Capacitance ESR  ≤</t>
  </si>
  <si>
    <t>Output Capacitance Cout  ≥</t>
  </si>
  <si>
    <t>kΩ</t>
  </si>
  <si>
    <r>
      <t>C</t>
    </r>
    <r>
      <rPr>
        <b/>
        <vertAlign val="subscript"/>
        <sz val="12"/>
        <rFont val="Arial"/>
        <family val="2"/>
      </rPr>
      <t>P</t>
    </r>
  </si>
  <si>
    <t>Cz</t>
  </si>
  <si>
    <t>values up to 10 nF</t>
  </si>
  <si>
    <t>values greater than 10nf</t>
  </si>
  <si>
    <r>
      <t>t</t>
    </r>
    <r>
      <rPr>
        <b/>
        <vertAlign val="subscript"/>
        <sz val="12"/>
        <rFont val="Arial"/>
        <family val="2"/>
      </rPr>
      <t>SS</t>
    </r>
  </si>
  <si>
    <t>Soft Start Time</t>
  </si>
  <si>
    <t>ms</t>
  </si>
  <si>
    <r>
      <t>C</t>
    </r>
    <r>
      <rPr>
        <b/>
        <vertAlign val="subscript"/>
        <sz val="12"/>
        <rFont val="Arial"/>
        <family val="2"/>
      </rPr>
      <t>SS</t>
    </r>
  </si>
  <si>
    <t>values greater than 10 nf</t>
  </si>
  <si>
    <r>
      <t>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</si>
  <si>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DELAB</t>
    </r>
  </si>
  <si>
    <r>
      <t>R</t>
    </r>
    <r>
      <rPr>
        <b/>
        <vertAlign val="subscript"/>
        <sz val="12"/>
        <rFont val="Arial"/>
        <family val="2"/>
      </rPr>
      <t>DELCD</t>
    </r>
  </si>
  <si>
    <r>
      <t>t</t>
    </r>
    <r>
      <rPr>
        <b/>
        <vertAlign val="subscript"/>
        <sz val="12"/>
        <rFont val="Arial"/>
        <family val="2"/>
      </rPr>
      <t>CDSET</t>
    </r>
  </si>
  <si>
    <r>
      <t>Set to half of 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</si>
  <si>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DELEF</t>
    </r>
  </si>
  <si>
    <t>Setting Minimum on Time</t>
  </si>
  <si>
    <t>Minimum on Time</t>
  </si>
  <si>
    <r>
      <t>t</t>
    </r>
    <r>
      <rPr>
        <b/>
        <vertAlign val="subscript"/>
        <sz val="12"/>
        <rFont val="Arial"/>
        <family val="2"/>
      </rPr>
      <t>MIN</t>
    </r>
  </si>
  <si>
    <r>
      <t>R</t>
    </r>
    <r>
      <rPr>
        <b/>
        <vertAlign val="subscript"/>
        <sz val="12"/>
        <rFont val="Arial"/>
        <family val="2"/>
      </rPr>
      <t>TMIN</t>
    </r>
  </si>
  <si>
    <r>
      <t>Calculate R</t>
    </r>
    <r>
      <rPr>
        <b/>
        <vertAlign val="subscript"/>
        <sz val="12"/>
        <rFont val="Arial"/>
        <family val="2"/>
      </rPr>
      <t>TMIN</t>
    </r>
  </si>
  <si>
    <t>Setup PWM Switching Frequency</t>
  </si>
  <si>
    <r>
      <t>Calculate R</t>
    </r>
    <r>
      <rPr>
        <b/>
        <vertAlign val="subscript"/>
        <sz val="12"/>
        <rFont val="Arial"/>
        <family val="2"/>
      </rPr>
      <t>T</t>
    </r>
    <r>
      <rPr>
        <b/>
        <sz val="12"/>
        <rFont val="Arial"/>
        <family val="2"/>
      </rPr>
      <t xml:space="preserve"> Value</t>
    </r>
  </si>
  <si>
    <r>
      <t>R</t>
    </r>
    <r>
      <rPr>
        <b/>
        <vertAlign val="subscript"/>
        <sz val="12"/>
        <rFont val="Arial"/>
        <family val="2"/>
      </rPr>
      <t>T</t>
    </r>
  </si>
  <si>
    <t>Setup Slope Compensation</t>
  </si>
  <si>
    <t>V/us</t>
  </si>
  <si>
    <r>
      <t>Calculate V</t>
    </r>
    <r>
      <rPr>
        <b/>
        <vertAlign val="subscript"/>
        <sz val="12"/>
        <rFont val="Arial"/>
        <family val="2"/>
      </rPr>
      <t>SLOPE</t>
    </r>
  </si>
  <si>
    <r>
      <t>V</t>
    </r>
    <r>
      <rPr>
        <b/>
        <vertAlign val="subscript"/>
        <sz val="12"/>
        <rFont val="Arial"/>
        <family val="2"/>
      </rPr>
      <t>SLOPE</t>
    </r>
  </si>
  <si>
    <r>
      <t>Calculate R</t>
    </r>
    <r>
      <rPr>
        <b/>
        <vertAlign val="subscript"/>
        <sz val="12"/>
        <rFont val="Arial"/>
        <family val="2"/>
      </rPr>
      <t>SUM</t>
    </r>
  </si>
  <si>
    <r>
      <t>R</t>
    </r>
    <r>
      <rPr>
        <b/>
        <vertAlign val="subscript"/>
        <sz val="12"/>
        <rFont val="Arial"/>
        <family val="2"/>
      </rPr>
      <t>SUM</t>
    </r>
  </si>
  <si>
    <r>
      <t>Voltage across R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at 15% load</t>
    </r>
  </si>
  <si>
    <r>
      <t>V</t>
    </r>
    <r>
      <rPr>
        <b/>
        <vertAlign val="subscript"/>
        <sz val="12"/>
        <rFont val="Arial"/>
        <family val="2"/>
      </rPr>
      <t>RS</t>
    </r>
  </si>
  <si>
    <r>
      <t>R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</si>
  <si>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E</t>
    </r>
  </si>
  <si>
    <r>
      <t>Calculate R</t>
    </r>
    <r>
      <rPr>
        <b/>
        <vertAlign val="subscript"/>
        <sz val="12"/>
        <rFont val="Arial"/>
        <family val="2"/>
      </rPr>
      <t xml:space="preserve">E </t>
    </r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</si>
  <si>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LOUT</t>
    </r>
  </si>
  <si>
    <t>Partial RMS Current</t>
  </si>
  <si>
    <t>Counter</t>
  </si>
  <si>
    <t>Gco n1/d1</t>
  </si>
  <si>
    <t>Gco 1/d2</t>
  </si>
  <si>
    <t>Gco n1/(d1*d2)</t>
  </si>
  <si>
    <t>Gco(f)</t>
  </si>
  <si>
    <t>|Gco(f)|</t>
  </si>
  <si>
    <t>Gc n1/n1</t>
  </si>
  <si>
    <t>Gc 1/n2</t>
  </si>
  <si>
    <t>Gc(f)</t>
  </si>
  <si>
    <t>Gc(f)*Gco(f)</t>
  </si>
  <si>
    <t>TvdB(f)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</si>
  <si>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(f)</t>
    </r>
  </si>
  <si>
    <t>frequency</t>
  </si>
  <si>
    <t>TvdB(f)
MathCad Check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</si>
  <si>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(f)
MathCAD
Check</t>
    </r>
  </si>
  <si>
    <t>Frequency</t>
  </si>
  <si>
    <t>ӨTv(f)</t>
  </si>
  <si>
    <t>T1 Primary Magnetizing Inductance &gt; or =</t>
  </si>
  <si>
    <r>
      <t>Calculate T1 Secondary RMS Current (I</t>
    </r>
    <r>
      <rPr>
        <b/>
        <vertAlign val="subscript"/>
        <sz val="12"/>
        <rFont val="Arial"/>
        <family val="2"/>
      </rPr>
      <t>SRMS</t>
    </r>
    <r>
      <rPr>
        <b/>
        <sz val="12"/>
        <rFont val="Arial"/>
        <family val="2"/>
      </rPr>
      <t>)</t>
    </r>
  </si>
  <si>
    <r>
      <t>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equivalent series resistance</t>
    </r>
  </si>
  <si>
    <t>Total Equivalent Series Resistance</t>
  </si>
  <si>
    <t>QE and QF on Resistance</t>
  </si>
  <si>
    <t>Minimum Gate Charge at the beginning of the Miller Plateau</t>
  </si>
  <si>
    <r>
      <t>Approximate QE and QF V</t>
    </r>
    <r>
      <rPr>
        <b/>
        <vertAlign val="subscript"/>
        <sz val="12"/>
        <rFont val="Arial"/>
        <family val="2"/>
      </rPr>
      <t>ds</t>
    </r>
    <r>
      <rPr>
        <b/>
        <sz val="12"/>
        <rFont val="Arial"/>
        <family val="2"/>
      </rPr>
      <t xml:space="preserve"> Rise and Fall Times</t>
    </r>
  </si>
  <si>
    <t>Equivalent Series Resistance</t>
  </si>
  <si>
    <r>
      <t>Estimate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Power Dissipation</t>
    </r>
  </si>
  <si>
    <t>Programmed Voltage Reference, Needs to be &lt; 5V</t>
  </si>
  <si>
    <t>Load Impedance at 10% Load</t>
  </si>
  <si>
    <t>Calculate Soft Start Capacitor</t>
  </si>
  <si>
    <t>Calculate 1/4 LC Tank Frequency and set AB Initial Delay</t>
  </si>
  <si>
    <t>Calculate AB timing resistor</t>
  </si>
  <si>
    <r>
      <t>Set Initial CD delay to AB Delay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= t</t>
    </r>
    <r>
      <rPr>
        <b/>
        <vertAlign val="subscript"/>
        <sz val="12"/>
        <rFont val="Arial"/>
        <family val="2"/>
      </rPr>
      <t>CDSET</t>
    </r>
  </si>
  <si>
    <r>
      <t>Calculate Magnetizing Current during I</t>
    </r>
    <r>
      <rPr>
        <b/>
        <vertAlign val="subscript"/>
        <sz val="12"/>
        <rFont val="Arial"/>
        <family val="2"/>
      </rPr>
      <t>LOUT</t>
    </r>
    <r>
      <rPr>
        <b/>
        <sz val="12"/>
        <rFont val="Arial"/>
        <family val="2"/>
      </rPr>
      <t xml:space="preserve"> down slope</t>
    </r>
  </si>
  <si>
    <t>Setup DCM Comparator</t>
  </si>
  <si>
    <t>Voltage Applied to FET Gate ≈ VDD</t>
  </si>
  <si>
    <r>
      <t>Double pole of G</t>
    </r>
    <r>
      <rPr>
        <b/>
        <vertAlign val="subscript"/>
        <sz val="12"/>
        <rFont val="Arial"/>
        <family val="2"/>
      </rPr>
      <t>CO</t>
    </r>
    <r>
      <rPr>
        <b/>
        <sz val="12"/>
        <rFont val="Arial"/>
        <family val="2"/>
      </rPr>
      <t>(f)</t>
    </r>
  </si>
  <si>
    <r>
      <t>f</t>
    </r>
    <r>
      <rPr>
        <b/>
        <vertAlign val="subscript"/>
        <sz val="12"/>
        <rFont val="Arial"/>
        <family val="2"/>
      </rPr>
      <t>PP</t>
    </r>
  </si>
  <si>
    <r>
      <t>Select Shim Inductor (L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)</t>
    </r>
  </si>
  <si>
    <r>
      <t>Selecting Output Inductor (L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</si>
  <si>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Selecting Output Capacitance (C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</si>
  <si>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Input Capacitance Calculations (C</t>
    </r>
    <r>
      <rPr>
        <b/>
        <vertAlign val="subscript"/>
        <sz val="12"/>
        <color indexed="9"/>
        <rFont val="Arial"/>
        <family val="2"/>
      </rPr>
      <t>IN</t>
    </r>
    <r>
      <rPr>
        <b/>
        <sz val="12"/>
        <color indexed="9"/>
        <rFont val="Arial"/>
        <family val="2"/>
      </rPr>
      <t>)</t>
    </r>
  </si>
  <si>
    <t>Recalculate Power Budget 
This is the remaining power left for the CT network, IC and IC sensing resistors</t>
  </si>
  <si>
    <r>
      <t>Setting up Voltage Amplifier Reference G</t>
    </r>
    <r>
      <rPr>
        <b/>
        <vertAlign val="subscript"/>
        <sz val="12"/>
        <color indexed="9"/>
        <rFont val="Arial"/>
        <family val="2"/>
      </rPr>
      <t>C</t>
    </r>
    <r>
      <rPr>
        <b/>
        <sz val="12"/>
        <color indexed="9"/>
        <rFont val="Arial"/>
        <family val="2"/>
      </rPr>
      <t>(f)</t>
    </r>
  </si>
  <si>
    <r>
      <t>Select Soft Start Capacitor (C</t>
    </r>
    <r>
      <rPr>
        <b/>
        <vertAlign val="subscript"/>
        <sz val="12"/>
        <color indexed="9"/>
        <rFont val="Arial"/>
        <family val="2"/>
      </rPr>
      <t>SS</t>
    </r>
    <r>
      <rPr>
        <b/>
        <sz val="12"/>
        <color indexed="9"/>
        <rFont val="Arial"/>
        <family val="2"/>
      </rPr>
      <t>)</t>
    </r>
  </si>
  <si>
    <t>It is recommended that you read this application note before using this design tool</t>
  </si>
  <si>
    <t>Please Refer to Figure of T1 Current</t>
  </si>
  <si>
    <r>
      <t>Primary Magnetizing Current Based on L</t>
    </r>
    <r>
      <rPr>
        <b/>
        <vertAlign val="subscript"/>
        <sz val="12"/>
        <rFont val="Arial"/>
        <family val="2"/>
      </rPr>
      <t>MAG</t>
    </r>
  </si>
  <si>
    <r>
      <t>Calculate T1 Primary RMS Current (I</t>
    </r>
    <r>
      <rPr>
        <b/>
        <vertAlign val="subscript"/>
        <sz val="12"/>
        <rFont val="Arial"/>
        <family val="2"/>
      </rPr>
      <t>PRMS</t>
    </r>
    <r>
      <rPr>
        <b/>
        <sz val="12"/>
        <rFont val="Arial"/>
        <family val="2"/>
      </rPr>
      <t>)</t>
    </r>
  </si>
  <si>
    <t>UCC28950 Design Calculator</t>
  </si>
  <si>
    <r>
      <t>Setting up the current sense network (CT, R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, R</t>
    </r>
    <r>
      <rPr>
        <b/>
        <vertAlign val="subscript"/>
        <sz val="12"/>
        <color indexed="9"/>
        <rFont val="Arial"/>
        <family val="2"/>
      </rPr>
      <t xml:space="preserve">RE, </t>
    </r>
    <r>
      <rPr>
        <b/>
        <sz val="12"/>
        <color indexed="9"/>
        <rFont val="Arial"/>
        <family val="2"/>
      </rPr>
      <t>D</t>
    </r>
    <r>
      <rPr>
        <b/>
        <vertAlign val="subscript"/>
        <sz val="12"/>
        <color indexed="9"/>
        <rFont val="Arial"/>
        <family val="2"/>
      </rPr>
      <t>A</t>
    </r>
    <r>
      <rPr>
        <b/>
        <sz val="12"/>
        <color indexed="9"/>
        <rFont val="Arial"/>
        <family val="2"/>
      </rPr>
      <t>):</t>
    </r>
  </si>
  <si>
    <t>Closest Standard Capacitor Value</t>
  </si>
  <si>
    <t>Closest Standard Resistor Value (E48)</t>
  </si>
  <si>
    <t>4. The spreadsheet will calculate the ideal values and display the results in red type.</t>
  </si>
  <si>
    <r>
      <t>L</t>
    </r>
    <r>
      <rPr>
        <b/>
        <vertAlign val="subscript"/>
        <sz val="12"/>
        <rFont val="Arial"/>
        <family val="2"/>
      </rPr>
      <t>LK</t>
    </r>
  </si>
  <si>
    <t>Measured Transformer Primary Leakage Inductance</t>
  </si>
  <si>
    <t>&gt; Invalid parameters entered in yellow cells</t>
  </si>
  <si>
    <t>&gt; Design cannot calculate realistic values for your design parameters</t>
  </si>
  <si>
    <t>&gt; Efficiency goal with selected components may not be achievable</t>
  </si>
  <si>
    <t>Warning Negative Numbers in Calculated Values Could Indicate</t>
  </si>
  <si>
    <t>Select Transformer Turns Ratio</t>
  </si>
  <si>
    <r>
      <t>R</t>
    </r>
    <r>
      <rPr>
        <b/>
        <vertAlign val="subscript"/>
        <sz val="12"/>
        <rFont val="Arial"/>
        <family val="2"/>
      </rPr>
      <t>DA1</t>
    </r>
  </si>
  <si>
    <r>
      <t>V</t>
    </r>
    <r>
      <rPr>
        <b/>
        <vertAlign val="subscript"/>
        <sz val="12"/>
        <rFont val="Arial"/>
        <family val="2"/>
      </rPr>
      <t>ADEL</t>
    </r>
  </si>
  <si>
    <t>Calculate Voltage at ADEL pin to Meet Delay Range</t>
  </si>
  <si>
    <r>
      <t>Select Standard Resistor for R</t>
    </r>
    <r>
      <rPr>
        <b/>
        <vertAlign val="subscript"/>
        <sz val="12"/>
        <rFont val="Arial"/>
        <family val="2"/>
      </rPr>
      <t xml:space="preserve">DA1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</si>
  <si>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DA2</t>
    </r>
  </si>
  <si>
    <r>
      <t>R</t>
    </r>
    <r>
      <rPr>
        <b/>
        <vertAlign val="subscript"/>
        <sz val="12"/>
        <rFont val="Arial"/>
        <family val="2"/>
      </rPr>
      <t>DA2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</si>
  <si>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DA2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</si>
  <si>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Recalculate V</t>
    </r>
    <r>
      <rPr>
        <b/>
        <vertAlign val="subscript"/>
        <sz val="12"/>
        <rFont val="Arial"/>
        <family val="2"/>
      </rPr>
      <t>ADEL</t>
    </r>
    <r>
      <rPr>
        <b/>
        <sz val="12"/>
        <rFont val="Arial"/>
        <family val="2"/>
      </rPr>
      <t xml:space="preserve"> Based on R</t>
    </r>
    <r>
      <rPr>
        <b/>
        <vertAlign val="subscript"/>
        <sz val="12"/>
        <rFont val="Arial"/>
        <family val="2"/>
      </rPr>
      <t>DA1</t>
    </r>
    <r>
      <rPr>
        <b/>
        <sz val="12"/>
        <rFont val="Arial"/>
        <family val="2"/>
      </rPr>
      <t xml:space="preserve"> and R</t>
    </r>
    <r>
      <rPr>
        <b/>
        <vertAlign val="subscript"/>
        <sz val="12"/>
        <rFont val="Arial"/>
        <family val="2"/>
      </rPr>
      <t>DA2</t>
    </r>
    <r>
      <rPr>
        <b/>
        <sz val="12"/>
        <rFont val="Arial"/>
        <family val="2"/>
      </rPr>
      <t xml:space="preserve"> Selection</t>
    </r>
  </si>
  <si>
    <r>
      <t>Enter/Fine Tune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Based on Valley Switching/ZVS</t>
    </r>
  </si>
  <si>
    <r>
      <t>Setting AB Initial Turn-on Delay (t</t>
    </r>
    <r>
      <rPr>
        <b/>
        <vertAlign val="subscript"/>
        <sz val="12"/>
        <color indexed="9"/>
        <rFont val="Arial"/>
        <family val="2"/>
      </rPr>
      <t>ABSET</t>
    </r>
    <r>
      <rPr>
        <b/>
        <sz val="12"/>
        <color indexed="9"/>
        <rFont val="Arial"/>
        <family val="2"/>
      </rPr>
      <t>)</t>
    </r>
  </si>
  <si>
    <r>
      <t>Setting CD Initial Turn-on Delay (t</t>
    </r>
    <r>
      <rPr>
        <b/>
        <vertAlign val="subscript"/>
        <sz val="12"/>
        <color indexed="9"/>
        <rFont val="Arial"/>
        <family val="2"/>
      </rPr>
      <t>CDSET</t>
    </r>
    <r>
      <rPr>
        <b/>
        <sz val="12"/>
        <color indexed="9"/>
        <rFont val="Arial"/>
        <family val="2"/>
      </rPr>
      <t>)</t>
    </r>
  </si>
  <si>
    <r>
      <t>R</t>
    </r>
    <r>
      <rPr>
        <b/>
        <vertAlign val="subscript"/>
        <sz val="12"/>
        <rFont val="Arial"/>
        <family val="2"/>
      </rPr>
      <t>CA1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</si>
  <si>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CA1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</si>
  <si>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CA2</t>
    </r>
  </si>
  <si>
    <r>
      <t>R</t>
    </r>
    <r>
      <rPr>
        <b/>
        <vertAlign val="subscript"/>
        <sz val="12"/>
        <rFont val="Arial"/>
        <family val="2"/>
      </rPr>
      <t>CA2</t>
    </r>
  </si>
  <si>
    <t>Calculate Voltage at ADELEF pin to Meet Delay Range</t>
  </si>
  <si>
    <r>
      <t>V</t>
    </r>
    <r>
      <rPr>
        <b/>
        <vertAlign val="subscript"/>
        <sz val="12"/>
        <rFont val="Arial"/>
        <family val="2"/>
      </rPr>
      <t>ADELEF</t>
    </r>
  </si>
  <si>
    <r>
      <t>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= t</t>
    </r>
    <r>
      <rPr>
        <b/>
        <vertAlign val="subscript"/>
        <sz val="12"/>
        <rFont val="Arial"/>
        <family val="2"/>
      </rPr>
      <t>BESET</t>
    </r>
  </si>
  <si>
    <r>
      <t>Enter/Fine Tune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and t</t>
    </r>
    <r>
      <rPr>
        <b/>
        <vertAlign val="subscript"/>
        <sz val="12"/>
        <rFont val="Arial"/>
        <family val="2"/>
      </rPr>
      <t>AFSET</t>
    </r>
  </si>
  <si>
    <t>Select Standard Resistor Value</t>
  </si>
  <si>
    <r>
      <t>Setting AF and BE turnoff delay (t</t>
    </r>
    <r>
      <rPr>
        <b/>
        <vertAlign val="subscript"/>
        <sz val="12"/>
        <color indexed="9"/>
        <rFont val="Arial"/>
        <family val="2"/>
      </rPr>
      <t>AFSET</t>
    </r>
    <r>
      <rPr>
        <b/>
        <sz val="12"/>
        <color indexed="9"/>
        <rFont val="Arial"/>
        <family val="2"/>
      </rPr>
      <t>, t</t>
    </r>
    <r>
      <rPr>
        <b/>
        <vertAlign val="subscript"/>
        <sz val="12"/>
        <color indexed="9"/>
        <rFont val="Arial"/>
        <family val="2"/>
      </rPr>
      <t>BESET</t>
    </r>
    <r>
      <rPr>
        <b/>
        <sz val="12"/>
        <color indexed="9"/>
        <rFont val="Arial"/>
        <family val="2"/>
      </rPr>
      <t>)</t>
    </r>
  </si>
  <si>
    <t>Select Standard Capacitor Value</t>
  </si>
  <si>
    <t>Select Standard Resistor Value (Between 13K and 90K ohm)</t>
  </si>
  <si>
    <t>Select Standard Resistor Value(Between 13K and 90K ohm)</t>
  </si>
  <si>
    <t>This design tool was generated based on the information in application report SLUA560</t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</si>
  <si>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LMAG</t>
    </r>
  </si>
  <si>
    <t>6. Note this design tool was generated to accompany application report     SLUA560</t>
  </si>
  <si>
    <t>Revision</t>
  </si>
  <si>
    <t>Enter Design Parameters and Chosen Component Values in Yellow Cells</t>
  </si>
  <si>
    <r>
      <t>V</t>
    </r>
    <r>
      <rPr>
        <b/>
        <vertAlign val="subscript"/>
        <sz val="12"/>
        <rFont val="Arial"/>
        <family val="2"/>
      </rPr>
      <t>SLOPE1</t>
    </r>
  </si>
  <si>
    <r>
      <t>V</t>
    </r>
    <r>
      <rPr>
        <b/>
        <vertAlign val="subscript"/>
        <sz val="12"/>
        <rFont val="Arial"/>
        <family val="2"/>
      </rPr>
      <t>SLOPE2</t>
    </r>
  </si>
  <si>
    <r>
      <t>Calculate V</t>
    </r>
    <r>
      <rPr>
        <b/>
        <vertAlign val="subscript"/>
        <sz val="12"/>
        <rFont val="Arial"/>
        <family val="2"/>
      </rPr>
      <t>SLOPE1</t>
    </r>
  </si>
  <si>
    <r>
      <t>Calculate V</t>
    </r>
    <r>
      <rPr>
        <b/>
        <vertAlign val="subscript"/>
        <sz val="12"/>
        <rFont val="Arial"/>
        <family val="2"/>
      </rPr>
      <t>SLOPE2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</si>
</sst>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0"/>
    <numFmt numFmtId="178" formatCode="0.E+00"/>
    <numFmt numFmtId="179" formatCode="#,##0.0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6"/>
      <color indexed="10"/>
      <name val="Arial"/>
      <family val="2"/>
    </font>
    <font>
      <sz val="20"/>
      <name val="Arial"/>
      <family val="2"/>
    </font>
    <font>
      <b/>
      <vertAlign val="subscript"/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2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b/>
      <sz val="12"/>
      <color indexed="9"/>
      <name val="Arial"/>
      <family val="2"/>
    </font>
    <font>
      <b/>
      <vertAlign val="subscript"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5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vertical="center"/>
    </xf>
    <xf numFmtId="176" fontId="2" fillId="3" borderId="1" xfId="0" applyNumberFormat="1" applyFont="1" applyFill="1" applyBorder="1" applyAlignment="1" applyProtection="1">
      <alignment horizontal="left"/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76" fontId="2" fillId="4" borderId="1" xfId="0" applyNumberFormat="1" applyFont="1" applyFill="1" applyBorder="1" applyAlignment="1" applyProtection="1">
      <alignment horizontal="left"/>
    </xf>
    <xf numFmtId="0" fontId="7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8" fillId="4" borderId="0" xfId="0" applyFont="1" applyFill="1" applyBorder="1" applyProtection="1">
      <protection hidden="1"/>
    </xf>
    <xf numFmtId="0" fontId="1" fillId="4" borderId="0" xfId="0" applyFont="1" applyFill="1" applyBorder="1" applyProtection="1">
      <protection hidden="1"/>
    </xf>
    <xf numFmtId="49" fontId="1" fillId="4" borderId="0" xfId="0" applyNumberFormat="1" applyFont="1" applyFill="1" applyBorder="1" applyProtection="1">
      <protection hidden="1"/>
    </xf>
    <xf numFmtId="0" fontId="7" fillId="4" borderId="2" xfId="0" applyFont="1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0" fontId="9" fillId="5" borderId="4" xfId="0" applyFont="1" applyFill="1" applyBorder="1" applyProtection="1">
      <protection hidden="1"/>
    </xf>
    <xf numFmtId="1" fontId="7" fillId="4" borderId="0" xfId="0" applyNumberFormat="1" applyFont="1" applyFill="1" applyBorder="1" applyProtection="1">
      <protection hidden="1"/>
    </xf>
    <xf numFmtId="1" fontId="11" fillId="6" borderId="5" xfId="0" applyNumberFormat="1" applyFont="1" applyFill="1" applyBorder="1" applyAlignment="1" applyProtection="1">
      <alignment horizontal="center"/>
      <protection hidden="1"/>
    </xf>
    <xf numFmtId="0" fontId="11" fillId="6" borderId="6" xfId="0" applyFont="1" applyFill="1" applyBorder="1" applyProtection="1">
      <protection hidden="1"/>
    </xf>
    <xf numFmtId="0" fontId="7" fillId="4" borderId="0" xfId="0" applyFont="1" applyFill="1" applyProtection="1">
      <protection hidden="1"/>
    </xf>
    <xf numFmtId="0" fontId="10" fillId="7" borderId="7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10" fillId="8" borderId="9" xfId="0" applyFont="1" applyFill="1" applyBorder="1" applyAlignment="1">
      <alignment horizontal="center" wrapText="1"/>
    </xf>
    <xf numFmtId="0" fontId="9" fillId="5" borderId="10" xfId="0" applyFont="1" applyFill="1" applyBorder="1" applyAlignment="1" applyProtection="1">
      <alignment horizontal="center"/>
      <protection hidden="1"/>
    </xf>
    <xf numFmtId="0" fontId="9" fillId="5" borderId="11" xfId="0" applyFont="1" applyFill="1" applyBorder="1" applyProtection="1">
      <protection hidden="1"/>
    </xf>
    <xf numFmtId="0" fontId="1" fillId="4" borderId="12" xfId="0" applyFont="1" applyFill="1" applyBorder="1" applyProtection="1">
      <protection hidden="1"/>
    </xf>
    <xf numFmtId="1" fontId="12" fillId="4" borderId="0" xfId="0" applyNumberFormat="1" applyFont="1" applyFill="1" applyBorder="1" applyProtection="1">
      <protection hidden="1"/>
    </xf>
    <xf numFmtId="177" fontId="13" fillId="4" borderId="0" xfId="0" applyNumberFormat="1" applyFont="1" applyFill="1" applyBorder="1" applyAlignment="1" applyProtection="1">
      <alignment horizontal="center"/>
      <protection hidden="1"/>
    </xf>
    <xf numFmtId="2" fontId="12" fillId="4" borderId="0" xfId="0" applyNumberFormat="1" applyFont="1" applyFill="1" applyBorder="1" applyAlignment="1" applyProtection="1">
      <alignment horizontal="center"/>
      <protection hidden="1"/>
    </xf>
    <xf numFmtId="0" fontId="1" fillId="4" borderId="13" xfId="0" applyFont="1" applyFill="1" applyBorder="1" applyProtection="1">
      <protection hidden="1"/>
    </xf>
    <xf numFmtId="0" fontId="14" fillId="4" borderId="0" xfId="0" applyFont="1" applyFill="1" applyBorder="1" applyProtection="1">
      <protection hidden="1"/>
    </xf>
    <xf numFmtId="0" fontId="15" fillId="4" borderId="0" xfId="0" applyFont="1" applyFill="1" applyBorder="1" applyAlignment="1" applyProtection="1">
      <alignment horizontal="center" wrapText="1"/>
      <protection hidden="1"/>
    </xf>
    <xf numFmtId="2" fontId="1" fillId="4" borderId="0" xfId="0" applyNumberFormat="1" applyFont="1" applyFill="1" applyBorder="1" applyAlignment="1" applyProtection="1">
      <alignment horizontal="center"/>
      <protection hidden="1"/>
    </xf>
    <xf numFmtId="1" fontId="16" fillId="4" borderId="0" xfId="0" applyNumberFormat="1" applyFont="1" applyFill="1" applyBorder="1" applyProtection="1"/>
    <xf numFmtId="0" fontId="1" fillId="4" borderId="14" xfId="0" applyFont="1" applyFill="1" applyBorder="1" applyProtection="1">
      <protection hidden="1"/>
    </xf>
    <xf numFmtId="0" fontId="10" fillId="9" borderId="15" xfId="0" applyFont="1" applyFill="1" applyBorder="1" applyAlignment="1">
      <alignment horizontal="center" wrapText="1"/>
    </xf>
    <xf numFmtId="0" fontId="16" fillId="4" borderId="0" xfId="0" applyFont="1" applyFill="1" applyBorder="1" applyProtection="1">
      <protection hidden="1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1" fillId="4" borderId="0" xfId="0" applyFont="1" applyFill="1" applyBorder="1" applyAlignment="1" applyProtection="1">
      <alignment horizontal="center"/>
      <protection hidden="1"/>
    </xf>
    <xf numFmtId="0" fontId="0" fillId="4" borderId="0" xfId="0" applyFill="1" applyBorder="1" applyAlignment="1">
      <alignment horizontal="center"/>
    </xf>
    <xf numFmtId="0" fontId="11" fillId="4" borderId="0" xfId="0" applyFont="1" applyFill="1" applyBorder="1" applyProtection="1">
      <protection hidden="1"/>
    </xf>
    <xf numFmtId="0" fontId="1" fillId="4" borderId="0" xfId="0" applyFont="1" applyFill="1"/>
    <xf numFmtId="49" fontId="17" fillId="6" borderId="7" xfId="0" applyNumberFormat="1" applyFont="1" applyFill="1" applyBorder="1" applyAlignment="1">
      <alignment horizontal="center" wrapText="1"/>
    </xf>
    <xf numFmtId="49" fontId="17" fillId="6" borderId="8" xfId="0" applyNumberFormat="1" applyFont="1" applyFill="1" applyBorder="1" applyAlignment="1">
      <alignment horizontal="center" wrapText="1"/>
    </xf>
    <xf numFmtId="0" fontId="18" fillId="4" borderId="0" xfId="0" applyFont="1" applyFill="1"/>
    <xf numFmtId="49" fontId="0" fillId="4" borderId="0" xfId="0" applyNumberFormat="1" applyFill="1" applyBorder="1" applyProtection="1"/>
    <xf numFmtId="49" fontId="17" fillId="6" borderId="9" xfId="0" applyNumberFormat="1" applyFont="1" applyFill="1" applyBorder="1" applyAlignment="1">
      <alignment horizontal="center" wrapText="1"/>
    </xf>
    <xf numFmtId="49" fontId="12" fillId="4" borderId="0" xfId="0" applyNumberFormat="1" applyFont="1" applyFill="1" applyBorder="1" applyProtection="1">
      <protection hidden="1"/>
    </xf>
    <xf numFmtId="0" fontId="12" fillId="4" borderId="0" xfId="0" applyFont="1" applyFill="1" applyBorder="1" applyProtection="1">
      <protection hidden="1"/>
    </xf>
    <xf numFmtId="0" fontId="12" fillId="4" borderId="0" xfId="0" applyFont="1" applyFill="1" applyProtection="1">
      <protection hidden="1"/>
    </xf>
    <xf numFmtId="0" fontId="17" fillId="4" borderId="0" xfId="0" applyFont="1" applyFill="1" applyBorder="1" applyAlignment="1" applyProtection="1">
      <alignment horizontal="center" wrapText="1"/>
      <protection hidden="1"/>
    </xf>
    <xf numFmtId="0" fontId="12" fillId="4" borderId="0" xfId="0" applyFont="1" applyFill="1"/>
    <xf numFmtId="0" fontId="19" fillId="4" borderId="0" xfId="0" applyFont="1" applyFill="1" applyProtection="1">
      <protection hidden="1"/>
    </xf>
    <xf numFmtId="0" fontId="0" fillId="4" borderId="0" xfId="0" applyFill="1" applyBorder="1" applyAlignment="1">
      <alignment wrapText="1"/>
    </xf>
    <xf numFmtId="0" fontId="0" fillId="4" borderId="0" xfId="0" applyFill="1" applyProtection="1">
      <protection hidden="1"/>
    </xf>
    <xf numFmtId="0" fontId="2" fillId="4" borderId="1" xfId="0" applyFont="1" applyFill="1" applyBorder="1" applyAlignment="1" applyProtection="1">
      <alignment horizontal="left"/>
    </xf>
    <xf numFmtId="0" fontId="2" fillId="10" borderId="1" xfId="0" applyFont="1" applyFill="1" applyBorder="1" applyAlignment="1" applyProtection="1">
      <alignment horizontal="left"/>
      <protection locked="0"/>
    </xf>
    <xf numFmtId="9" fontId="2" fillId="10" borderId="1" xfId="0" applyNumberFormat="1" applyFont="1" applyFill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14" fontId="2" fillId="0" borderId="1" xfId="0" applyNumberFormat="1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2" fillId="11" borderId="1" xfId="0" applyFont="1" applyFill="1" applyBorder="1" applyAlignment="1" applyProtection="1">
      <alignment horizontal="left"/>
    </xf>
    <xf numFmtId="0" fontId="2" fillId="12" borderId="1" xfId="0" applyFont="1" applyFill="1" applyBorder="1" applyAlignment="1" applyProtection="1">
      <alignment horizontal="left"/>
    </xf>
    <xf numFmtId="176" fontId="2" fillId="0" borderId="1" xfId="0" applyNumberFormat="1" applyFont="1" applyBorder="1" applyAlignment="1" applyProtection="1">
      <alignment horizontal="left"/>
    </xf>
    <xf numFmtId="2" fontId="2" fillId="0" borderId="1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1" fontId="2" fillId="0" borderId="1" xfId="0" applyNumberFormat="1" applyFont="1" applyBorder="1" applyAlignment="1" applyProtection="1">
      <alignment horizontal="left"/>
    </xf>
    <xf numFmtId="176" fontId="2" fillId="12" borderId="1" xfId="0" applyNumberFormat="1" applyFont="1" applyFill="1" applyBorder="1" applyAlignment="1" applyProtection="1">
      <alignment horizontal="left"/>
    </xf>
    <xf numFmtId="178" fontId="2" fillId="0" borderId="1" xfId="0" applyNumberFormat="1" applyFont="1" applyBorder="1" applyAlignment="1" applyProtection="1">
      <alignment horizontal="left"/>
    </xf>
    <xf numFmtId="9" fontId="2" fillId="0" borderId="1" xfId="0" applyNumberFormat="1" applyFont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 wrapText="1"/>
    </xf>
    <xf numFmtId="1" fontId="2" fillId="4" borderId="1" xfId="0" applyNumberFormat="1" applyFont="1" applyFill="1" applyBorder="1" applyAlignment="1" applyProtection="1">
      <alignment horizontal="left"/>
    </xf>
    <xf numFmtId="0" fontId="22" fillId="4" borderId="1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12" borderId="1" xfId="0" applyFont="1" applyFill="1" applyBorder="1" applyAlignment="1" applyProtection="1">
      <alignment horizontal="left" wrapText="1"/>
    </xf>
    <xf numFmtId="179" fontId="2" fillId="0" borderId="1" xfId="0" applyNumberFormat="1" applyFont="1" applyBorder="1" applyAlignment="1" applyProtection="1">
      <alignment horizontal="left"/>
    </xf>
    <xf numFmtId="177" fontId="2" fillId="0" borderId="1" xfId="0" applyNumberFormat="1" applyFont="1" applyBorder="1" applyAlignment="1" applyProtection="1">
      <alignment horizontal="left"/>
    </xf>
    <xf numFmtId="176" fontId="11" fillId="6" borderId="16" xfId="0" applyNumberFormat="1" applyFont="1" applyFill="1" applyBorder="1" applyProtection="1">
      <protection hidden="1"/>
    </xf>
    <xf numFmtId="176" fontId="11" fillId="6" borderId="17" xfId="0" applyNumberFormat="1" applyFont="1" applyFill="1" applyBorder="1" applyProtection="1">
      <protection hidden="1"/>
    </xf>
    <xf numFmtId="176" fontId="11" fillId="6" borderId="18" xfId="0" applyNumberFormat="1" applyFont="1" applyFill="1" applyBorder="1" applyProtection="1">
      <protection hidden="1"/>
    </xf>
    <xf numFmtId="0" fontId="23" fillId="0" borderId="1" xfId="0" applyFont="1" applyBorder="1" applyAlignment="1" applyProtection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2" fillId="0" borderId="1" xfId="0" applyFont="1" applyFill="1" applyBorder="1" applyAlignment="1" applyProtection="1">
      <alignment horizontal="left"/>
    </xf>
    <xf numFmtId="177" fontId="0" fillId="0" borderId="1" xfId="0" applyNumberFormat="1" applyBorder="1"/>
    <xf numFmtId="0" fontId="0" fillId="0" borderId="1" xfId="0" applyFill="1" applyBorder="1"/>
    <xf numFmtId="0" fontId="24" fillId="0" borderId="1" xfId="0" applyFont="1" applyBorder="1"/>
    <xf numFmtId="0" fontId="0" fillId="0" borderId="1" xfId="0" applyBorder="1" applyAlignment="1">
      <alignment wrapText="1"/>
    </xf>
    <xf numFmtId="0" fontId="26" fillId="12" borderId="1" xfId="0" applyFont="1" applyFill="1" applyBorder="1" applyAlignment="1" applyProtection="1">
      <alignment horizontal="left"/>
    </xf>
    <xf numFmtId="0" fontId="26" fillId="13" borderId="1" xfId="0" applyFont="1" applyFill="1" applyBorder="1" applyAlignment="1" applyProtection="1">
      <alignment horizontal="left"/>
    </xf>
    <xf numFmtId="14" fontId="26" fillId="13" borderId="1" xfId="0" applyNumberFormat="1" applyFont="1" applyFill="1" applyBorder="1" applyAlignment="1" applyProtection="1">
      <alignment horizontal="left"/>
    </xf>
    <xf numFmtId="176" fontId="26" fillId="12" borderId="1" xfId="0" applyNumberFormat="1" applyFont="1" applyFill="1" applyBorder="1" applyAlignment="1" applyProtection="1">
      <alignment horizontal="left"/>
    </xf>
    <xf numFmtId="0" fontId="28" fillId="0" borderId="1" xfId="0" applyFont="1" applyBorder="1" applyAlignment="1" applyProtection="1">
      <alignment horizontal="left"/>
    </xf>
    <xf numFmtId="0" fontId="28" fillId="4" borderId="1" xfId="0" applyFont="1" applyFill="1" applyBorder="1" applyAlignment="1" applyProtection="1">
      <alignment horizontal="left"/>
    </xf>
    <xf numFmtId="176" fontId="2" fillId="0" borderId="1" xfId="0" applyNumberFormat="1" applyFont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/>
    </xf>
    <xf numFmtId="14" fontId="6" fillId="3" borderId="1" xfId="0" applyNumberFormat="1" applyFont="1" applyFill="1" applyBorder="1" applyAlignment="1" applyProtection="1">
      <alignment horizontal="left"/>
    </xf>
    <xf numFmtId="0" fontId="26" fillId="14" borderId="1" xfId="0" applyFont="1" applyFill="1" applyBorder="1" applyAlignment="1" applyProtection="1">
      <alignment horizontal="left"/>
    </xf>
    <xf numFmtId="14" fontId="26" fillId="14" borderId="1" xfId="0" applyNumberFormat="1" applyFont="1" applyFill="1" applyBorder="1" applyAlignment="1" applyProtection="1">
      <alignment horizontal="left"/>
    </xf>
    <xf numFmtId="0" fontId="29" fillId="0" borderId="1" xfId="0" applyFont="1" applyBorder="1" applyAlignment="1" applyProtection="1">
      <alignment horizontal="left"/>
    </xf>
    <xf numFmtId="2" fontId="28" fillId="0" borderId="1" xfId="0" applyNumberFormat="1" applyFont="1" applyBorder="1" applyAlignment="1" applyProtection="1">
      <alignment horizontal="left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2" fontId="2" fillId="4" borderId="1" xfId="0" applyNumberFormat="1" applyFont="1" applyFill="1" applyBorder="1" applyAlignment="1" applyProtection="1">
      <alignment horizontal="left"/>
    </xf>
    <xf numFmtId="177" fontId="2" fillId="4" borderId="1" xfId="0" applyNumberFormat="1" applyFont="1" applyFill="1" applyBorder="1" applyAlignment="1" applyProtection="1">
      <alignment horizontal="left"/>
    </xf>
    <xf numFmtId="177" fontId="2" fillId="3" borderId="1" xfId="0" applyNumberFormat="1" applyFont="1" applyFill="1" applyBorder="1" applyAlignment="1" applyProtection="1">
      <alignment horizontal="left"/>
      <protection locked="0"/>
    </xf>
    <xf numFmtId="11" fontId="2" fillId="0" borderId="1" xfId="0" applyNumberFormat="1" applyFont="1" applyBorder="1" applyAlignment="1" applyProtection="1">
      <alignment horizontal="left"/>
    </xf>
    <xf numFmtId="11" fontId="2" fillId="4" borderId="1" xfId="0" applyNumberFormat="1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7" fillId="4" borderId="0" xfId="0" applyFont="1" applyFill="1" applyBorder="1" applyAlignment="1" applyProtection="1">
      <alignment horizontal="center" wrapText="1"/>
      <protection hidden="1"/>
    </xf>
    <xf numFmtId="0" fontId="10" fillId="7" borderId="19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horizontal="center" wrapText="1"/>
    </xf>
    <xf numFmtId="0" fontId="10" fillId="9" borderId="19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49" fontId="17" fillId="6" borderId="19" xfId="0" applyNumberFormat="1" applyFont="1" applyFill="1" applyBorder="1" applyAlignment="1">
      <alignment horizontal="center" wrapText="1"/>
    </xf>
    <xf numFmtId="49" fontId="17" fillId="6" borderId="0" xfId="0" applyNumberFormat="1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zh-CN"/>
              <a:t>Tv(f) Frequency Response</a:t>
            </a:r>
          </a:p>
        </c:rich>
      </c:tx>
      <c:layout>
        <c:manualLayout>
          <c:xMode val="edge"/>
          <c:yMode val="edge"/>
          <c:x val="0.3575345342106209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3979474782932"/>
          <c:y val="0.11778304275115783"/>
          <c:w val="0.78630189580338705"/>
          <c:h val="0.729792970771879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3500.0000000000005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7000.0000000000009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14000.000000000002</c:v>
                </c:pt>
                <c:pt idx="28">
                  <c:v>14499.999999999998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27500.000000000004</c:v>
                </c:pt>
                <c:pt idx="55">
                  <c:v>28000.000000000004</c:v>
                </c:pt>
                <c:pt idx="56">
                  <c:v>28499.999999999996</c:v>
                </c:pt>
                <c:pt idx="57">
                  <c:v>28999.999999999996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40.08838364285225</c:v>
                </c:pt>
                <c:pt idx="1">
                  <c:v>7.0037434702945109</c:v>
                </c:pt>
                <c:pt idx="2">
                  <c:v>3.0085128188367296</c:v>
                </c:pt>
                <c:pt idx="3">
                  <c:v>0.3569652956695113</c:v>
                </c:pt>
                <c:pt idx="4">
                  <c:v>-1.6277412093776753</c:v>
                </c:pt>
                <c:pt idx="5">
                  <c:v>-3.2120719664846731</c:v>
                </c:pt>
                <c:pt idx="6">
                  <c:v>-4.5285555787693008</c:v>
                </c:pt>
                <c:pt idx="7">
                  <c:v>-5.6529903826498371</c:v>
                </c:pt>
                <c:pt idx="8">
                  <c:v>-6.6328684669055651</c:v>
                </c:pt>
                <c:pt idx="9">
                  <c:v>-7.499908395336897</c:v>
                </c:pt>
                <c:pt idx="10">
                  <c:v>-8.2763255415169343</c:v>
                </c:pt>
                <c:pt idx="11">
                  <c:v>-8.9782724189147984</c:v>
                </c:pt>
                <c:pt idx="12">
                  <c:v>-9.6178612703008639</c:v>
                </c:pt>
                <c:pt idx="13">
                  <c:v>-10.204417799297348</c:v>
                </c:pt>
                <c:pt idx="14">
                  <c:v>-10.745291423943923</c:v>
                </c:pt>
                <c:pt idx="15">
                  <c:v>-11.246397031549549</c:v>
                </c:pt>
                <c:pt idx="16">
                  <c:v>-11.712587751126842</c:v>
                </c:pt>
                <c:pt idx="17">
                  <c:v>-12.147917941460491</c:v>
                </c:pt>
                <c:pt idx="18">
                  <c:v>-12.55583291238462</c:v>
                </c:pt>
                <c:pt idx="19">
                  <c:v>-12.93930858721926</c:v>
                </c:pt>
                <c:pt idx="20">
                  <c:v>-13.300956225409964</c:v>
                </c:pt>
                <c:pt idx="21">
                  <c:v>-13.643102260653064</c:v>
                </c:pt>
                <c:pt idx="22">
                  <c:v>-13.967850057106357</c:v>
                </c:pt>
                <c:pt idx="23">
                  <c:v>-14.277128248072163</c:v>
                </c:pt>
                <c:pt idx="24">
                  <c:v>-14.572728885701626</c:v>
                </c:pt>
                <c:pt idx="25">
                  <c:v>-14.856337646880416</c:v>
                </c:pt>
                <c:pt idx="26">
                  <c:v>-15.129557655010391</c:v>
                </c:pt>
                <c:pt idx="27">
                  <c:v>-15.393927993114119</c:v>
                </c:pt>
                <c:pt idx="28">
                  <c:v>-15.650937639586322</c:v>
                </c:pt>
                <c:pt idx="29">
                  <c:v>-15.902035315796198</c:v>
                </c:pt>
                <c:pt idx="30">
                  <c:v>-16.148635570986961</c:v>
                </c:pt>
                <c:pt idx="31">
                  <c:v>-16.392121330273014</c:v>
                </c:pt>
                <c:pt idx="32">
                  <c:v>-16.633843087457315</c:v>
                </c:pt>
                <c:pt idx="33">
                  <c:v>-16.875114930147848</c:v>
                </c:pt>
                <c:pt idx="34">
                  <c:v>-17.117207635182719</c:v>
                </c:pt>
                <c:pt idx="35">
                  <c:v>-17.36133916116848</c:v>
                </c:pt>
                <c:pt idx="36">
                  <c:v>-17.608662982695328</c:v>
                </c:pt>
                <c:pt idx="37">
                  <c:v>-17.860254844342084</c:v>
                </c:pt>
                <c:pt idx="38">
                  <c:v>-18.11709864495414</c:v>
                </c:pt>
                <c:pt idx="39">
                  <c:v>-18.380072274025054</c:v>
                </c:pt>
                <c:pt idx="40">
                  <c:v>-18.64993429182476</c:v>
                </c:pt>
                <c:pt idx="41">
                  <c:v>-18.927312355064981</c:v>
                </c:pt>
                <c:pt idx="42">
                  <c:v>-19.212694228115829</c:v>
                </c:pt>
                <c:pt idx="43">
                  <c:v>-19.506422082748614</c:v>
                </c:pt>
                <c:pt idx="44">
                  <c:v>-19.808690584486452</c:v>
                </c:pt>
                <c:pt idx="45">
                  <c:v>-20.119549008891116</c:v>
                </c:pt>
                <c:pt idx="46">
                  <c:v>-20.438907352762563</c:v>
                </c:pt>
                <c:pt idx="47">
                  <c:v>-20.766546133633611</c:v>
                </c:pt>
                <c:pt idx="48">
                  <c:v>-21.102129335466032</c:v>
                </c:pt>
                <c:pt idx="49">
                  <c:v>-21.445219782590694</c:v>
                </c:pt>
                <c:pt idx="50">
                  <c:v>-21.79529612183449</c:v>
                </c:pt>
                <c:pt idx="51">
                  <c:v>-22.151770567742552</c:v>
                </c:pt>
                <c:pt idx="52">
                  <c:v>-22.514006611069096</c:v>
                </c:pt>
                <c:pt idx="53">
                  <c:v>-22.88133599180561</c:v>
                </c:pt>
                <c:pt idx="54">
                  <c:v>-23.253074376225076</c:v>
                </c:pt>
                <c:pt idx="55">
                  <c:v>-23.628535333179499</c:v>
                </c:pt>
                <c:pt idx="56">
                  <c:v>-24.00704236070505</c:v>
                </c:pt>
                <c:pt idx="57">
                  <c:v>-24.387938856233223</c:v>
                </c:pt>
                <c:pt idx="58">
                  <c:v>-24.770596043438996</c:v>
                </c:pt>
                <c:pt idx="59">
                  <c:v>-25.154418961565426</c:v>
                </c:pt>
                <c:pt idx="60">
                  <c:v>-25.538850688349655</c:v>
                </c:pt>
                <c:pt idx="61">
                  <c:v>-25.923375007577228</c:v>
                </c:pt>
                <c:pt idx="62">
                  <c:v>-26.307517750664413</c:v>
                </c:pt>
                <c:pt idx="63">
                  <c:v>-26.690847043089715</c:v>
                </c:pt>
                <c:pt idx="64">
                  <c:v>-27.072972675597523</c:v>
                </c:pt>
                <c:pt idx="65">
                  <c:v>-27.453544801079381</c:v>
                </c:pt>
                <c:pt idx="66">
                  <c:v>-27.832252134420202</c:v>
                </c:pt>
                <c:pt idx="67">
                  <c:v>-28.208819807114622</c:v>
                </c:pt>
                <c:pt idx="68">
                  <c:v>-28.583007003122841</c:v>
                </c:pt>
                <c:pt idx="69">
                  <c:v>-28.954604478583722</c:v>
                </c:pt>
                <c:pt idx="70">
                  <c:v>-29.323432046448158</c:v>
                </c:pt>
                <c:pt idx="71">
                  <c:v>-29.689336088238953</c:v>
                </c:pt>
                <c:pt idx="72">
                  <c:v>-30.05218713908674</c:v>
                </c:pt>
                <c:pt idx="73">
                  <c:v>-30.411877578847573</c:v>
                </c:pt>
                <c:pt idx="74">
                  <c:v>-30.768319451258019</c:v>
                </c:pt>
                <c:pt idx="75">
                  <c:v>-31.121442424446112</c:v>
                </c:pt>
                <c:pt idx="76">
                  <c:v>-31.471191899398015</c:v>
                </c:pt>
                <c:pt idx="77">
                  <c:v>-31.817527267864051</c:v>
                </c:pt>
                <c:pt idx="78">
                  <c:v>-32.160420317410711</c:v>
                </c:pt>
                <c:pt idx="79">
                  <c:v>-32.499853778619951</c:v>
                </c:pt>
                <c:pt idx="80">
                  <c:v>-32.835820007595196</c:v>
                </c:pt>
                <c:pt idx="81">
                  <c:v>-33.168319795759345</c:v>
                </c:pt>
                <c:pt idx="82">
                  <c:v>-33.497361298277006</c:v>
                </c:pt>
                <c:pt idx="83">
                  <c:v>-33.82295907216465</c:v>
                </c:pt>
                <c:pt idx="84">
                  <c:v>-34.145133215174639</c:v>
                </c:pt>
                <c:pt idx="85">
                  <c:v>-34.463908596763098</c:v>
                </c:pt>
                <c:pt idx="86">
                  <c:v>-34.779314172815802</c:v>
                </c:pt>
                <c:pt idx="87">
                  <c:v>-35.091382376266111</c:v>
                </c:pt>
                <c:pt idx="88">
                  <c:v>-35.400148576247965</c:v>
                </c:pt>
                <c:pt idx="89">
                  <c:v>-35.705650598963217</c:v>
                </c:pt>
                <c:pt idx="90">
                  <c:v>-36.007928303984443</c:v>
                </c:pt>
                <c:pt idx="91">
                  <c:v>-36.307023210248467</c:v>
                </c:pt>
                <c:pt idx="92">
                  <c:v>-36.602978166503348</c:v>
                </c:pt>
                <c:pt idx="93">
                  <c:v>-36.895837061461776</c:v>
                </c:pt>
                <c:pt idx="94">
                  <c:v>-37.18564456936771</c:v>
                </c:pt>
                <c:pt idx="95">
                  <c:v>-37.472445927104864</c:v>
                </c:pt>
                <c:pt idx="96">
                  <c:v>-37.756286739367077</c:v>
                </c:pt>
                <c:pt idx="97">
                  <c:v>-38.037212808767499</c:v>
                </c:pt>
                <c:pt idx="98">
                  <c:v>-38.315269988088247</c:v>
                </c:pt>
                <c:pt idx="99">
                  <c:v>-38.590504052168122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1A-4AB7-858C-FB29CD43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381328"/>
        <c:axId val="1"/>
      </c:scatterChart>
      <c:scatterChart>
        <c:scatterStyle val="lineMarker"/>
        <c:varyColors val="0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3500.0000000000005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7000.0000000000009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14000.000000000002</c:v>
                </c:pt>
                <c:pt idx="28">
                  <c:v>14499.999999999998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27500.000000000004</c:v>
                </c:pt>
                <c:pt idx="55">
                  <c:v>28000.000000000004</c:v>
                </c:pt>
                <c:pt idx="56">
                  <c:v>28499.999999999996</c:v>
                </c:pt>
                <c:pt idx="57">
                  <c:v>28999.999999999996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11.951982061949224</c:v>
                </c:pt>
                <c:pt idx="1">
                  <c:v>62.063365750505724</c:v>
                </c:pt>
                <c:pt idx="2">
                  <c:v>69.223463672601241</c:v>
                </c:pt>
                <c:pt idx="3">
                  <c:v>72.641239150800459</c:v>
                </c:pt>
                <c:pt idx="4">
                  <c:v>74.35443550188009</c:v>
                </c:pt>
                <c:pt idx="5">
                  <c:v>75.147409791761135</c:v>
                </c:pt>
                <c:pt idx="6">
                  <c:v>75.381009760975402</c:v>
                </c:pt>
                <c:pt idx="7">
                  <c:v>75.244533842518734</c:v>
                </c:pt>
                <c:pt idx="8">
                  <c:v>74.847383640553247</c:v>
                </c:pt>
                <c:pt idx="9">
                  <c:v>74.257430489650048</c:v>
                </c:pt>
                <c:pt idx="10">
                  <c:v>73.518971380618808</c:v>
                </c:pt>
                <c:pt idx="11">
                  <c:v>72.661947651040109</c:v>
                </c:pt>
                <c:pt idx="12">
                  <c:v>71.707063884193147</c:v>
                </c:pt>
                <c:pt idx="13">
                  <c:v>70.668823821325432</c:v>
                </c:pt>
                <c:pt idx="14">
                  <c:v>69.557431134463897</c:v>
                </c:pt>
                <c:pt idx="15">
                  <c:v>68.380032773668518</c:v>
                </c:pt>
                <c:pt idx="16">
                  <c:v>67.141561605603442</c:v>
                </c:pt>
                <c:pt idx="17">
                  <c:v>65.84532455996856</c:v>
                </c:pt>
                <c:pt idx="18">
                  <c:v>64.493423940006508</c:v>
                </c:pt>
                <c:pt idx="19">
                  <c:v>63.087066795456977</c:v>
                </c:pt>
                <c:pt idx="20">
                  <c:v>61.626798016027905</c:v>
                </c:pt>
                <c:pt idx="21">
                  <c:v>60.112681008190123</c:v>
                </c:pt>
                <c:pt idx="22">
                  <c:v>58.544442312115393</c:v>
                </c:pt>
                <c:pt idx="23">
                  <c:v>56.92159157660133</c:v>
                </c:pt>
                <c:pt idx="24">
                  <c:v>55.243524952850308</c:v>
                </c:pt>
                <c:pt idx="25">
                  <c:v>53.509617604671249</c:v>
                </c:pt>
                <c:pt idx="26">
                  <c:v>51.719309298257144</c:v>
                </c:pt>
                <c:pt idx="27">
                  <c:v>49.872185696147227</c:v>
                </c:pt>
                <c:pt idx="28">
                  <c:v>47.968056886332903</c:v>
                </c:pt>
                <c:pt idx="29">
                  <c:v>46.007033732364079</c:v>
                </c:pt>
                <c:pt idx="30">
                  <c:v>43.989601776901765</c:v>
                </c:pt>
                <c:pt idx="31">
                  <c:v>41.916691643977998</c:v>
                </c:pt>
                <c:pt idx="32">
                  <c:v>39.789744165663109</c:v>
                </c:pt>
                <c:pt idx="33">
                  <c:v>37.610767832024294</c:v>
                </c:pt>
                <c:pt idx="34">
                  <c:v>35.382385674074982</c:v>
                </c:pt>
                <c:pt idx="35">
                  <c:v>33.10786839697937</c:v>
                </c:pt>
                <c:pt idx="36">
                  <c:v>30.791150549276153</c:v>
                </c:pt>
                <c:pt idx="37">
                  <c:v>28.436826800713959</c:v>
                </c:pt>
                <c:pt idx="38">
                  <c:v>26.05012604250993</c:v>
                </c:pt>
                <c:pt idx="39">
                  <c:v>23.636862019542377</c:v>
                </c:pt>
                <c:pt idx="40">
                  <c:v>21.203360506859156</c:v>
                </c:pt>
                <c:pt idx="41">
                  <c:v>18.756364553577924</c:v>
                </c:pt>
                <c:pt idx="42">
                  <c:v>16.302920889692132</c:v>
                </c:pt>
                <c:pt idx="43">
                  <c:v>13.850252049312957</c:v>
                </c:pt>
                <c:pt idx="44">
                  <c:v>11.405619927157773</c:v>
                </c:pt>
                <c:pt idx="45">
                  <c:v>8.9761871999559162</c:v>
                </c:pt>
                <c:pt idx="46">
                  <c:v>6.5688832122640122</c:v>
                </c:pt>
                <c:pt idx="47">
                  <c:v>4.1902805226749535</c:v>
                </c:pt>
                <c:pt idx="48">
                  <c:v>1.8464873862252205</c:v>
                </c:pt>
                <c:pt idx="49">
                  <c:v>-0.45693986519972896</c:v>
                </c:pt>
                <c:pt idx="50">
                  <c:v>-2.7150621232785852</c:v>
                </c:pt>
                <c:pt idx="51">
                  <c:v>-4.9235996492200229</c:v>
                </c:pt>
                <c:pt idx="52">
                  <c:v>-7.0789516954753253</c:v>
                </c:pt>
                <c:pt idx="53">
                  <c:v>-9.1781954510217929</c:v>
                </c:pt>
                <c:pt idx="54">
                  <c:v>-11.219067051046181</c:v>
                </c:pt>
                <c:pt idx="55">
                  <c:v>-13.199927935351354</c:v>
                </c:pt>
                <c:pt idx="56">
                  <c:v>-15.119720053291928</c:v>
                </c:pt>
                <c:pt idx="57">
                  <c:v>-16.977913347510253</c:v>
                </c:pt>
                <c:pt idx="58">
                  <c:v>-18.774448672408369</c:v>
                </c:pt>
                <c:pt idx="59">
                  <c:v>-20.509678888477879</c:v>
                </c:pt>
                <c:pt idx="60">
                  <c:v>-22.184310387084224</c:v>
                </c:pt>
                <c:pt idx="61">
                  <c:v>-23.799346797149781</c:v>
                </c:pt>
                <c:pt idx="62">
                  <c:v>-25.35603614626632</c:v>
                </c:pt>
                <c:pt idx="63">
                  <c:v>-26.855822320864377</c:v>
                </c:pt>
                <c:pt idx="64">
                  <c:v>-28.300301307579048</c:v>
                </c:pt>
                <c:pt idx="65">
                  <c:v>-29.691182405623067</c:v>
                </c:pt>
                <c:pt idx="66">
                  <c:v>-31.03025437560791</c:v>
                </c:pt>
                <c:pt idx="67">
                  <c:v>-32.319356327325465</c:v>
                </c:pt>
                <c:pt idx="68">
                  <c:v>-33.56035303864769</c:v>
                </c:pt>
                <c:pt idx="69">
                  <c:v>-34.755114330370418</c:v>
                </c:pt>
                <c:pt idx="70">
                  <c:v>-35.90549808816786</c:v>
                </c:pt>
                <c:pt idx="71">
                  <c:v>-37.013336514463845</c:v>
                </c:pt>
                <c:pt idx="72">
                  <c:v>-38.080425202748529</c:v>
                </c:pt>
                <c:pt idx="73">
                  <c:v>-39.108514648790617</c:v>
                </c:pt>
                <c:pt idx="74">
                  <c:v>-40.099303842655388</c:v>
                </c:pt>
                <c:pt idx="75">
                  <c:v>-41.054435618906041</c:v>
                </c:pt>
                <c:pt idx="76">
                  <c:v>-41.975493477236</c:v>
                </c:pt>
                <c:pt idx="77">
                  <c:v>-42.863999620265588</c:v>
                </c:pt>
                <c:pt idx="78">
                  <c:v>-43.721413988065933</c:v>
                </c:pt>
                <c:pt idx="79">
                  <c:v>-44.549134099478351</c:v>
                </c:pt>
                <c:pt idx="80">
                  <c:v>-45.348495538008478</c:v>
                </c:pt>
                <c:pt idx="81">
                  <c:v>-46.120772944885005</c:v>
                </c:pt>
                <c:pt idx="82">
                  <c:v>-46.867181403776726</c:v>
                </c:pt>
                <c:pt idx="83">
                  <c:v>-47.588878120787285</c:v>
                </c:pt>
                <c:pt idx="84">
                  <c:v>-48.286964319906986</c:v>
                </c:pt>
                <c:pt idx="85">
                  <c:v>-48.962487288300053</c:v>
                </c:pt>
                <c:pt idx="86">
                  <c:v>-49.616442517918813</c:v>
                </c:pt>
                <c:pt idx="87">
                  <c:v>-50.249775900178861</c:v>
                </c:pt>
                <c:pt idx="88">
                  <c:v>-50.863385939058048</c:v>
                </c:pt>
                <c:pt idx="89">
                  <c:v>-51.45812595519908</c:v>
                </c:pt>
                <c:pt idx="90">
                  <c:v>-52.034806259602476</c:v>
                </c:pt>
                <c:pt idx="91">
                  <c:v>-52.594196280473682</c:v>
                </c:pt>
                <c:pt idx="92">
                  <c:v>-53.137026630879461</c:v>
                </c:pt>
                <c:pt idx="93">
                  <c:v>-53.663991108222206</c:v>
                </c:pt>
                <c:pt idx="94">
                  <c:v>-54.175748619270507</c:v>
                </c:pt>
                <c:pt idx="95">
                  <c:v>-54.6729250266892</c:v>
                </c:pt>
                <c:pt idx="96">
                  <c:v>-55.156114914778016</c:v>
                </c:pt>
                <c:pt idx="97">
                  <c:v>-55.625883273534782</c:v>
                </c:pt>
                <c:pt idx="98">
                  <c:v>-56.082767101267734</c:v>
                </c:pt>
                <c:pt idx="99">
                  <c:v>-56.527276926838624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1A-4AB7-858C-FB29CD43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245381328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506878078596338"/>
              <c:y val="0.92609796754620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At val="-80"/>
        <c:crossBetween val="midCat"/>
      </c:val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Gain in dB</a:t>
                </a:r>
              </a:p>
            </c:rich>
          </c:tx>
          <c:layout>
            <c:manualLayout>
              <c:xMode val="edge"/>
              <c:yMode val="edge"/>
              <c:x val="1.643835616438356E-2"/>
              <c:y val="0.3926101846968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5381328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Phase in Degrees</a:t>
                </a:r>
              </a:p>
            </c:rich>
          </c:tx>
          <c:layout>
            <c:manualLayout>
              <c:xMode val="edge"/>
              <c:yMode val="edge"/>
              <c:x val="0.94794578075000901"/>
              <c:y val="0.33487346414261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24671916010497"/>
          <c:y val="0.70207924933170884"/>
          <c:w val="0.1356165821738036"/>
          <c:h val="0.11316421475029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zh-CN"/>
              <a:t>Tv(f) Frequency Response</a:t>
            </a:r>
          </a:p>
        </c:rich>
      </c:tx>
      <c:layout>
        <c:manualLayout>
          <c:xMode val="edge"/>
          <c:yMode val="edge"/>
          <c:x val="0.32948963751853916"/>
          <c:y val="3.3163265306122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8410590965584"/>
          <c:y val="0.11734693877551021"/>
          <c:w val="0.79406983151467858"/>
          <c:h val="0.7397959183673469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3500.0000000000005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7000.0000000000009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14000.000000000002</c:v>
                </c:pt>
                <c:pt idx="28">
                  <c:v>14499.999999999998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27500.000000000004</c:v>
                </c:pt>
                <c:pt idx="55">
                  <c:v>28000.000000000004</c:v>
                </c:pt>
                <c:pt idx="56">
                  <c:v>28499.999999999996</c:v>
                </c:pt>
                <c:pt idx="57">
                  <c:v>28999.999999999996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40.08838364285225</c:v>
                </c:pt>
                <c:pt idx="1">
                  <c:v>7.0037434702945109</c:v>
                </c:pt>
                <c:pt idx="2">
                  <c:v>3.0085128188367296</c:v>
                </c:pt>
                <c:pt idx="3">
                  <c:v>0.3569652956695113</c:v>
                </c:pt>
                <c:pt idx="4">
                  <c:v>-1.6277412093776753</c:v>
                </c:pt>
                <c:pt idx="5">
                  <c:v>-3.2120719664846731</c:v>
                </c:pt>
                <c:pt idx="6">
                  <c:v>-4.5285555787693008</c:v>
                </c:pt>
                <c:pt idx="7">
                  <c:v>-5.6529903826498371</c:v>
                </c:pt>
                <c:pt idx="8">
                  <c:v>-6.6328684669055651</c:v>
                </c:pt>
                <c:pt idx="9">
                  <c:v>-7.499908395336897</c:v>
                </c:pt>
                <c:pt idx="10">
                  <c:v>-8.2763255415169343</c:v>
                </c:pt>
                <c:pt idx="11">
                  <c:v>-8.9782724189147984</c:v>
                </c:pt>
                <c:pt idx="12">
                  <c:v>-9.6178612703008639</c:v>
                </c:pt>
                <c:pt idx="13">
                  <c:v>-10.204417799297348</c:v>
                </c:pt>
                <c:pt idx="14">
                  <c:v>-10.745291423943923</c:v>
                </c:pt>
                <c:pt idx="15">
                  <c:v>-11.246397031549549</c:v>
                </c:pt>
                <c:pt idx="16">
                  <c:v>-11.712587751126842</c:v>
                </c:pt>
                <c:pt idx="17">
                  <c:v>-12.147917941460491</c:v>
                </c:pt>
                <c:pt idx="18">
                  <c:v>-12.55583291238462</c:v>
                </c:pt>
                <c:pt idx="19">
                  <c:v>-12.93930858721926</c:v>
                </c:pt>
                <c:pt idx="20">
                  <c:v>-13.300956225409964</c:v>
                </c:pt>
                <c:pt idx="21">
                  <c:v>-13.643102260653064</c:v>
                </c:pt>
                <c:pt idx="22">
                  <c:v>-13.967850057106357</c:v>
                </c:pt>
                <c:pt idx="23">
                  <c:v>-14.277128248072163</c:v>
                </c:pt>
                <c:pt idx="24">
                  <c:v>-14.572728885701626</c:v>
                </c:pt>
                <c:pt idx="25">
                  <c:v>-14.856337646880416</c:v>
                </c:pt>
                <c:pt idx="26">
                  <c:v>-15.129557655010391</c:v>
                </c:pt>
                <c:pt idx="27">
                  <c:v>-15.393927993114119</c:v>
                </c:pt>
                <c:pt idx="28">
                  <c:v>-15.650937639586322</c:v>
                </c:pt>
                <c:pt idx="29">
                  <c:v>-15.902035315796198</c:v>
                </c:pt>
                <c:pt idx="30">
                  <c:v>-16.148635570986961</c:v>
                </c:pt>
                <c:pt idx="31">
                  <c:v>-16.392121330273014</c:v>
                </c:pt>
                <c:pt idx="32">
                  <c:v>-16.633843087457315</c:v>
                </c:pt>
                <c:pt idx="33">
                  <c:v>-16.875114930147848</c:v>
                </c:pt>
                <c:pt idx="34">
                  <c:v>-17.117207635182719</c:v>
                </c:pt>
                <c:pt idx="35">
                  <c:v>-17.36133916116848</c:v>
                </c:pt>
                <c:pt idx="36">
                  <c:v>-17.608662982695328</c:v>
                </c:pt>
                <c:pt idx="37">
                  <c:v>-17.860254844342084</c:v>
                </c:pt>
                <c:pt idx="38">
                  <c:v>-18.11709864495414</c:v>
                </c:pt>
                <c:pt idx="39">
                  <c:v>-18.380072274025054</c:v>
                </c:pt>
                <c:pt idx="40">
                  <c:v>-18.64993429182476</c:v>
                </c:pt>
                <c:pt idx="41">
                  <c:v>-18.927312355064981</c:v>
                </c:pt>
                <c:pt idx="42">
                  <c:v>-19.212694228115829</c:v>
                </c:pt>
                <c:pt idx="43">
                  <c:v>-19.506422082748614</c:v>
                </c:pt>
                <c:pt idx="44">
                  <c:v>-19.808690584486452</c:v>
                </c:pt>
                <c:pt idx="45">
                  <c:v>-20.119549008891116</c:v>
                </c:pt>
                <c:pt idx="46">
                  <c:v>-20.438907352762563</c:v>
                </c:pt>
                <c:pt idx="47">
                  <c:v>-20.766546133633611</c:v>
                </c:pt>
                <c:pt idx="48">
                  <c:v>-21.102129335466032</c:v>
                </c:pt>
                <c:pt idx="49">
                  <c:v>-21.445219782590694</c:v>
                </c:pt>
                <c:pt idx="50">
                  <c:v>-21.79529612183449</c:v>
                </c:pt>
                <c:pt idx="51">
                  <c:v>-22.151770567742552</c:v>
                </c:pt>
                <c:pt idx="52">
                  <c:v>-22.514006611069096</c:v>
                </c:pt>
                <c:pt idx="53">
                  <c:v>-22.88133599180561</c:v>
                </c:pt>
                <c:pt idx="54">
                  <c:v>-23.253074376225076</c:v>
                </c:pt>
                <c:pt idx="55">
                  <c:v>-23.628535333179499</c:v>
                </c:pt>
                <c:pt idx="56">
                  <c:v>-24.00704236070505</c:v>
                </c:pt>
                <c:pt idx="57">
                  <c:v>-24.387938856233223</c:v>
                </c:pt>
                <c:pt idx="58">
                  <c:v>-24.770596043438996</c:v>
                </c:pt>
                <c:pt idx="59">
                  <c:v>-25.154418961565426</c:v>
                </c:pt>
                <c:pt idx="60">
                  <c:v>-25.538850688349655</c:v>
                </c:pt>
                <c:pt idx="61">
                  <c:v>-25.923375007577228</c:v>
                </c:pt>
                <c:pt idx="62">
                  <c:v>-26.307517750664413</c:v>
                </c:pt>
                <c:pt idx="63">
                  <c:v>-26.690847043089715</c:v>
                </c:pt>
                <c:pt idx="64">
                  <c:v>-27.072972675597523</c:v>
                </c:pt>
                <c:pt idx="65">
                  <c:v>-27.453544801079381</c:v>
                </c:pt>
                <c:pt idx="66">
                  <c:v>-27.832252134420202</c:v>
                </c:pt>
                <c:pt idx="67">
                  <c:v>-28.208819807114622</c:v>
                </c:pt>
                <c:pt idx="68">
                  <c:v>-28.583007003122841</c:v>
                </c:pt>
                <c:pt idx="69">
                  <c:v>-28.954604478583722</c:v>
                </c:pt>
                <c:pt idx="70">
                  <c:v>-29.323432046448158</c:v>
                </c:pt>
                <c:pt idx="71">
                  <c:v>-29.689336088238953</c:v>
                </c:pt>
                <c:pt idx="72">
                  <c:v>-30.05218713908674</c:v>
                </c:pt>
                <c:pt idx="73">
                  <c:v>-30.411877578847573</c:v>
                </c:pt>
                <c:pt idx="74">
                  <c:v>-30.768319451258019</c:v>
                </c:pt>
                <c:pt idx="75">
                  <c:v>-31.121442424446112</c:v>
                </c:pt>
                <c:pt idx="76">
                  <c:v>-31.471191899398015</c:v>
                </c:pt>
                <c:pt idx="77">
                  <c:v>-31.817527267864051</c:v>
                </c:pt>
                <c:pt idx="78">
                  <c:v>-32.160420317410711</c:v>
                </c:pt>
                <c:pt idx="79">
                  <c:v>-32.499853778619951</c:v>
                </c:pt>
                <c:pt idx="80">
                  <c:v>-32.835820007595196</c:v>
                </c:pt>
                <c:pt idx="81">
                  <c:v>-33.168319795759345</c:v>
                </c:pt>
                <c:pt idx="82">
                  <c:v>-33.497361298277006</c:v>
                </c:pt>
                <c:pt idx="83">
                  <c:v>-33.82295907216465</c:v>
                </c:pt>
                <c:pt idx="84">
                  <c:v>-34.145133215174639</c:v>
                </c:pt>
                <c:pt idx="85">
                  <c:v>-34.463908596763098</c:v>
                </c:pt>
                <c:pt idx="86">
                  <c:v>-34.779314172815802</c:v>
                </c:pt>
                <c:pt idx="87">
                  <c:v>-35.091382376266111</c:v>
                </c:pt>
                <c:pt idx="88">
                  <c:v>-35.400148576247965</c:v>
                </c:pt>
                <c:pt idx="89">
                  <c:v>-35.705650598963217</c:v>
                </c:pt>
                <c:pt idx="90">
                  <c:v>-36.007928303984443</c:v>
                </c:pt>
                <c:pt idx="91">
                  <c:v>-36.307023210248467</c:v>
                </c:pt>
                <c:pt idx="92">
                  <c:v>-36.602978166503348</c:v>
                </c:pt>
                <c:pt idx="93">
                  <c:v>-36.895837061461776</c:v>
                </c:pt>
                <c:pt idx="94">
                  <c:v>-37.18564456936771</c:v>
                </c:pt>
                <c:pt idx="95">
                  <c:v>-37.472445927104864</c:v>
                </c:pt>
                <c:pt idx="96">
                  <c:v>-37.756286739367077</c:v>
                </c:pt>
                <c:pt idx="97">
                  <c:v>-38.037212808767499</c:v>
                </c:pt>
                <c:pt idx="98">
                  <c:v>-38.315269988088247</c:v>
                </c:pt>
                <c:pt idx="99">
                  <c:v>-38.590504052168122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F3-4B22-8083-25DC611F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03200"/>
        <c:axId val="1"/>
      </c:scatterChart>
      <c:scatterChart>
        <c:scatterStyle val="lineMarker"/>
        <c:varyColors val="0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3500.0000000000005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7000.0000000000009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14000.000000000002</c:v>
                </c:pt>
                <c:pt idx="28">
                  <c:v>14499.999999999998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27500.000000000004</c:v>
                </c:pt>
                <c:pt idx="55">
                  <c:v>28000.000000000004</c:v>
                </c:pt>
                <c:pt idx="56">
                  <c:v>28499.999999999996</c:v>
                </c:pt>
                <c:pt idx="57">
                  <c:v>28999.999999999996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11.951982061949224</c:v>
                </c:pt>
                <c:pt idx="1">
                  <c:v>62.063365750505724</c:v>
                </c:pt>
                <c:pt idx="2">
                  <c:v>69.223463672601241</c:v>
                </c:pt>
                <c:pt idx="3">
                  <c:v>72.641239150800459</c:v>
                </c:pt>
                <c:pt idx="4">
                  <c:v>74.35443550188009</c:v>
                </c:pt>
                <c:pt idx="5">
                  <c:v>75.147409791761135</c:v>
                </c:pt>
                <c:pt idx="6">
                  <c:v>75.381009760975402</c:v>
                </c:pt>
                <c:pt idx="7">
                  <c:v>75.244533842518734</c:v>
                </c:pt>
                <c:pt idx="8">
                  <c:v>74.847383640553247</c:v>
                </c:pt>
                <c:pt idx="9">
                  <c:v>74.257430489650048</c:v>
                </c:pt>
                <c:pt idx="10">
                  <c:v>73.518971380618808</c:v>
                </c:pt>
                <c:pt idx="11">
                  <c:v>72.661947651040109</c:v>
                </c:pt>
                <c:pt idx="12">
                  <c:v>71.707063884193147</c:v>
                </c:pt>
                <c:pt idx="13">
                  <c:v>70.668823821325432</c:v>
                </c:pt>
                <c:pt idx="14">
                  <c:v>69.557431134463897</c:v>
                </c:pt>
                <c:pt idx="15">
                  <c:v>68.380032773668518</c:v>
                </c:pt>
                <c:pt idx="16">
                  <c:v>67.141561605603442</c:v>
                </c:pt>
                <c:pt idx="17">
                  <c:v>65.84532455996856</c:v>
                </c:pt>
                <c:pt idx="18">
                  <c:v>64.493423940006508</c:v>
                </c:pt>
                <c:pt idx="19">
                  <c:v>63.087066795456977</c:v>
                </c:pt>
                <c:pt idx="20">
                  <c:v>61.626798016027905</c:v>
                </c:pt>
                <c:pt idx="21">
                  <c:v>60.112681008190123</c:v>
                </c:pt>
                <c:pt idx="22">
                  <c:v>58.544442312115393</c:v>
                </c:pt>
                <c:pt idx="23">
                  <c:v>56.92159157660133</c:v>
                </c:pt>
                <c:pt idx="24">
                  <c:v>55.243524952850308</c:v>
                </c:pt>
                <c:pt idx="25">
                  <c:v>53.509617604671249</c:v>
                </c:pt>
                <c:pt idx="26">
                  <c:v>51.719309298257144</c:v>
                </c:pt>
                <c:pt idx="27">
                  <c:v>49.872185696147227</c:v>
                </c:pt>
                <c:pt idx="28">
                  <c:v>47.968056886332903</c:v>
                </c:pt>
                <c:pt idx="29">
                  <c:v>46.007033732364079</c:v>
                </c:pt>
                <c:pt idx="30">
                  <c:v>43.989601776901765</c:v>
                </c:pt>
                <c:pt idx="31">
                  <c:v>41.916691643977998</c:v>
                </c:pt>
                <c:pt idx="32">
                  <c:v>39.789744165663109</c:v>
                </c:pt>
                <c:pt idx="33">
                  <c:v>37.610767832024294</c:v>
                </c:pt>
                <c:pt idx="34">
                  <c:v>35.382385674074982</c:v>
                </c:pt>
                <c:pt idx="35">
                  <c:v>33.10786839697937</c:v>
                </c:pt>
                <c:pt idx="36">
                  <c:v>30.791150549276153</c:v>
                </c:pt>
                <c:pt idx="37">
                  <c:v>28.436826800713959</c:v>
                </c:pt>
                <c:pt idx="38">
                  <c:v>26.05012604250993</c:v>
                </c:pt>
                <c:pt idx="39">
                  <c:v>23.636862019542377</c:v>
                </c:pt>
                <c:pt idx="40">
                  <c:v>21.203360506859156</c:v>
                </c:pt>
                <c:pt idx="41">
                  <c:v>18.756364553577924</c:v>
                </c:pt>
                <c:pt idx="42">
                  <c:v>16.302920889692132</c:v>
                </c:pt>
                <c:pt idx="43">
                  <c:v>13.850252049312957</c:v>
                </c:pt>
                <c:pt idx="44">
                  <c:v>11.405619927157773</c:v>
                </c:pt>
                <c:pt idx="45">
                  <c:v>8.9761871999559162</c:v>
                </c:pt>
                <c:pt idx="46">
                  <c:v>6.5688832122640122</c:v>
                </c:pt>
                <c:pt idx="47">
                  <c:v>4.1902805226749535</c:v>
                </c:pt>
                <c:pt idx="48">
                  <c:v>1.8464873862252205</c:v>
                </c:pt>
                <c:pt idx="49">
                  <c:v>-0.45693986519972896</c:v>
                </c:pt>
                <c:pt idx="50">
                  <c:v>-2.7150621232785852</c:v>
                </c:pt>
                <c:pt idx="51">
                  <c:v>-4.9235996492200229</c:v>
                </c:pt>
                <c:pt idx="52">
                  <c:v>-7.0789516954753253</c:v>
                </c:pt>
                <c:pt idx="53">
                  <c:v>-9.1781954510217929</c:v>
                </c:pt>
                <c:pt idx="54">
                  <c:v>-11.219067051046181</c:v>
                </c:pt>
                <c:pt idx="55">
                  <c:v>-13.199927935351354</c:v>
                </c:pt>
                <c:pt idx="56">
                  <c:v>-15.119720053291928</c:v>
                </c:pt>
                <c:pt idx="57">
                  <c:v>-16.977913347510253</c:v>
                </c:pt>
                <c:pt idx="58">
                  <c:v>-18.774448672408369</c:v>
                </c:pt>
                <c:pt idx="59">
                  <c:v>-20.509678888477879</c:v>
                </c:pt>
                <c:pt idx="60">
                  <c:v>-22.184310387084224</c:v>
                </c:pt>
                <c:pt idx="61">
                  <c:v>-23.799346797149781</c:v>
                </c:pt>
                <c:pt idx="62">
                  <c:v>-25.35603614626632</c:v>
                </c:pt>
                <c:pt idx="63">
                  <c:v>-26.855822320864377</c:v>
                </c:pt>
                <c:pt idx="64">
                  <c:v>-28.300301307579048</c:v>
                </c:pt>
                <c:pt idx="65">
                  <c:v>-29.691182405623067</c:v>
                </c:pt>
                <c:pt idx="66">
                  <c:v>-31.03025437560791</c:v>
                </c:pt>
                <c:pt idx="67">
                  <c:v>-32.319356327325465</c:v>
                </c:pt>
                <c:pt idx="68">
                  <c:v>-33.56035303864769</c:v>
                </c:pt>
                <c:pt idx="69">
                  <c:v>-34.755114330370418</c:v>
                </c:pt>
                <c:pt idx="70">
                  <c:v>-35.90549808816786</c:v>
                </c:pt>
                <c:pt idx="71">
                  <c:v>-37.013336514463845</c:v>
                </c:pt>
                <c:pt idx="72">
                  <c:v>-38.080425202748529</c:v>
                </c:pt>
                <c:pt idx="73">
                  <c:v>-39.108514648790617</c:v>
                </c:pt>
                <c:pt idx="74">
                  <c:v>-40.099303842655388</c:v>
                </c:pt>
                <c:pt idx="75">
                  <c:v>-41.054435618906041</c:v>
                </c:pt>
                <c:pt idx="76">
                  <c:v>-41.975493477236</c:v>
                </c:pt>
                <c:pt idx="77">
                  <c:v>-42.863999620265588</c:v>
                </c:pt>
                <c:pt idx="78">
                  <c:v>-43.721413988065933</c:v>
                </c:pt>
                <c:pt idx="79">
                  <c:v>-44.549134099478351</c:v>
                </c:pt>
                <c:pt idx="80">
                  <c:v>-45.348495538008478</c:v>
                </c:pt>
                <c:pt idx="81">
                  <c:v>-46.120772944885005</c:v>
                </c:pt>
                <c:pt idx="82">
                  <c:v>-46.867181403776726</c:v>
                </c:pt>
                <c:pt idx="83">
                  <c:v>-47.588878120787285</c:v>
                </c:pt>
                <c:pt idx="84">
                  <c:v>-48.286964319906986</c:v>
                </c:pt>
                <c:pt idx="85">
                  <c:v>-48.962487288300053</c:v>
                </c:pt>
                <c:pt idx="86">
                  <c:v>-49.616442517918813</c:v>
                </c:pt>
                <c:pt idx="87">
                  <c:v>-50.249775900178861</c:v>
                </c:pt>
                <c:pt idx="88">
                  <c:v>-50.863385939058048</c:v>
                </c:pt>
                <c:pt idx="89">
                  <c:v>-51.45812595519908</c:v>
                </c:pt>
                <c:pt idx="90">
                  <c:v>-52.034806259602476</c:v>
                </c:pt>
                <c:pt idx="91">
                  <c:v>-52.594196280473682</c:v>
                </c:pt>
                <c:pt idx="92">
                  <c:v>-53.137026630879461</c:v>
                </c:pt>
                <c:pt idx="93">
                  <c:v>-53.663991108222206</c:v>
                </c:pt>
                <c:pt idx="94">
                  <c:v>-54.175748619270507</c:v>
                </c:pt>
                <c:pt idx="95">
                  <c:v>-54.6729250266892</c:v>
                </c:pt>
                <c:pt idx="96">
                  <c:v>-55.156114914778016</c:v>
                </c:pt>
                <c:pt idx="97">
                  <c:v>-55.625883273534782</c:v>
                </c:pt>
                <c:pt idx="98">
                  <c:v>-56.082767101267734</c:v>
                </c:pt>
                <c:pt idx="99">
                  <c:v>-56.527276926838624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F3-4B22-8083-25DC611F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245003200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680429979201528"/>
              <c:y val="0.93112244897959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At val="-80"/>
        <c:crossBetween val="midCat"/>
      </c:val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Gain in dB</a:t>
                </a:r>
              </a:p>
            </c:rich>
          </c:tx>
          <c:layout>
            <c:manualLayout>
              <c:xMode val="edge"/>
              <c:yMode val="edge"/>
              <c:x val="1.9769357495881382E-2"/>
              <c:y val="0.39795918367346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5003200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1121085152658"/>
          <c:y val="0.70408163265306123"/>
          <c:w val="0.16309737230127946"/>
          <c:h val="0.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12</xdr:col>
      <xdr:colOff>257175</xdr:colOff>
      <xdr:row>35</xdr:row>
      <xdr:rowOff>76200</xdr:rowOff>
    </xdr:to>
    <xdr:pic>
      <xdr:nvPicPr>
        <xdr:cNvPr id="4108" name="Pictur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740092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151</xdr:row>
      <xdr:rowOff>38100</xdr:rowOff>
    </xdr:from>
    <xdr:to>
      <xdr:col>3</xdr:col>
      <xdr:colOff>695325</xdr:colOff>
      <xdr:row>171</xdr:row>
      <xdr:rowOff>161925</xdr:rowOff>
    </xdr:to>
    <xdr:graphicFrame macro="">
      <xdr:nvGraphicFramePr>
        <xdr:cNvPr id="1047" name="Chart 12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523875</xdr:colOff>
      <xdr:row>4</xdr:row>
      <xdr:rowOff>85725</xdr:rowOff>
    </xdr:to>
    <xdr:pic>
      <xdr:nvPicPr>
        <xdr:cNvPr id="5135" name="Picture 2">
          <a:extLst>
            <a:ext uri="{FF2B5EF4-FFF2-40B4-BE49-F238E27FC236}">
              <a16:creationId xmlns:a16="http://schemas.microsoft.com/office/drawing/2014/main" id="{00000000-0008-0000-0300-00000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0067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57150</xdr:rowOff>
        </xdr:from>
        <xdr:to>
          <xdr:col>8</xdr:col>
          <xdr:colOff>533400</xdr:colOff>
          <xdr:row>46</xdr:row>
          <xdr:rowOff>57150</xdr:rowOff>
        </xdr:to>
        <xdr:sp macro="" textlink="">
          <xdr:nvSpPr>
            <xdr:cNvPr id="5125" name="对象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34</xdr:row>
      <xdr:rowOff>123825</xdr:rowOff>
    </xdr:to>
    <xdr:pic>
      <xdr:nvPicPr>
        <xdr:cNvPr id="6157" name="Picture 3">
          <a:extLst>
            <a:ext uri="{FF2B5EF4-FFF2-40B4-BE49-F238E27FC236}">
              <a16:creationId xmlns:a16="http://schemas.microsoft.com/office/drawing/2014/main" id="{00000000-0008-0000-0400-00000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19625" cy="562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390525</xdr:colOff>
      <xdr:row>34</xdr:row>
      <xdr:rowOff>133350</xdr:rowOff>
    </xdr:to>
    <xdr:pic>
      <xdr:nvPicPr>
        <xdr:cNvPr id="7181" name="Picture 3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57725" cy="5638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85</xdr:row>
      <xdr:rowOff>114300</xdr:rowOff>
    </xdr:from>
    <xdr:to>
      <xdr:col>7</xdr:col>
      <xdr:colOff>57150</xdr:colOff>
      <xdr:row>105</xdr:row>
      <xdr:rowOff>152400</xdr:rowOff>
    </xdr:to>
    <xdr:graphicFrame macro="">
      <xdr:nvGraphicFramePr>
        <xdr:cNvPr id="3086" name="Chart 4">
          <a:extLst>
            <a:ext uri="{FF2B5EF4-FFF2-40B4-BE49-F238E27FC236}">
              <a16:creationId xmlns:a16="http://schemas.microsoft.com/office/drawing/2014/main" id="{00000000-0008-0000-0600-00000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799388\My%20Documents\Applications%20Information\UCC28070\Design%20Tool\UCC28070%20Design%20Tool%208%2015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gn Information"/>
      <sheetName val="Current Loop Calaculations"/>
      <sheetName val="Voltage Loop Calaclations"/>
    </sheetNames>
    <sheetDataSet>
      <sheetData sheetId="0">
        <row r="29">
          <cell r="C29">
            <v>2.4499999999999999E-4</v>
          </cell>
        </row>
        <row r="40">
          <cell r="C40">
            <v>50</v>
          </cell>
        </row>
        <row r="83">
          <cell r="C83">
            <v>4020</v>
          </cell>
        </row>
        <row r="85">
          <cell r="C85">
            <v>2.1999999999999998E-9</v>
          </cell>
        </row>
        <row r="87">
          <cell r="C87">
            <v>3.3E-10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7" workbookViewId="0">
      <selection activeCell="A16" sqref="A16:N16"/>
    </sheetView>
  </sheetViews>
  <sheetFormatPr defaultRowHeight="12.75" x14ac:dyDescent="0.2"/>
  <sheetData>
    <row r="1" spans="1:14" ht="33.75" x14ac:dyDescent="0.2">
      <c r="A1" s="111" t="s">
        <v>294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25.5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5.5" x14ac:dyDescent="0.2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25.5" x14ac:dyDescent="0.2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">
      <c r="A7" s="1"/>
      <c r="B7" s="114" t="s">
        <v>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ht="25.5" x14ac:dyDescent="0.2">
      <c r="A8" s="1"/>
      <c r="B8" s="114" t="s">
        <v>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ht="25.5" x14ac:dyDescent="0.2">
      <c r="A9" s="1"/>
      <c r="B9" s="114" t="s">
        <v>6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ht="25.5" x14ac:dyDescent="0.2">
      <c r="A10" s="1" t="s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5.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5.5" x14ac:dyDescent="0.2">
      <c r="A12" s="115" t="s">
        <v>298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25.5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 ht="25.5" x14ac:dyDescent="0.2">
      <c r="A14" s="115" t="s">
        <v>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4" ht="25.5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45.75" customHeight="1" x14ac:dyDescent="0.2">
      <c r="A16" s="115" t="s">
        <v>332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" x14ac:dyDescent="0.2">
      <c r="A17" t="s">
        <v>20</v>
      </c>
    </row>
  </sheetData>
  <sheetProtection password="ECDD" sheet="1" objects="1" scenarios="1"/>
  <mergeCells count="11">
    <mergeCell ref="A14:N14"/>
    <mergeCell ref="A16:N16"/>
    <mergeCell ref="A5:N5"/>
    <mergeCell ref="B7:N7"/>
    <mergeCell ref="B8:N8"/>
    <mergeCell ref="B9:N9"/>
    <mergeCell ref="A1:N1"/>
    <mergeCell ref="A2:N2"/>
    <mergeCell ref="A3:N3"/>
    <mergeCell ref="A4:N4"/>
    <mergeCell ref="A12:N1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3"/>
  <sheetViews>
    <sheetView topLeftCell="A4" zoomScale="130" zoomScaleNormal="130" workbookViewId="0">
      <selection activeCell="O9" sqref="O9"/>
    </sheetView>
  </sheetViews>
  <sheetFormatPr defaultRowHeight="12.75" x14ac:dyDescent="0.2"/>
  <sheetData>
    <row r="43" spans="4:4" x14ac:dyDescent="0.2">
      <c r="D43" t="s">
        <v>20</v>
      </c>
    </row>
  </sheetData>
  <sheetProtection password="ECDD" sheet="1" objects="1" scenarios="1"/>
  <phoneticPr fontId="21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2"/>
  <sheetViews>
    <sheetView tabSelected="1" topLeftCell="A113" workbookViewId="0">
      <selection activeCell="C125" sqref="C125"/>
    </sheetView>
  </sheetViews>
  <sheetFormatPr defaultRowHeight="15.75" x14ac:dyDescent="0.25"/>
  <cols>
    <col min="1" max="1" width="66.140625" style="59" customWidth="1"/>
    <col min="2" max="2" width="15" style="59" customWidth="1"/>
    <col min="3" max="3" width="13.42578125" style="59" customWidth="1"/>
    <col min="4" max="5" width="11.5703125" style="59" customWidth="1"/>
    <col min="6" max="16384" width="9.140625" style="59"/>
  </cols>
  <sheetData>
    <row r="1" spans="1:8" x14ac:dyDescent="0.25">
      <c r="A1" s="59" t="s">
        <v>0</v>
      </c>
    </row>
    <row r="2" spans="1:8" x14ac:dyDescent="0.25">
      <c r="A2" s="59" t="s">
        <v>333</v>
      </c>
      <c r="B2" s="60">
        <v>40822</v>
      </c>
    </row>
    <row r="3" spans="1:8" x14ac:dyDescent="0.25">
      <c r="B3" s="60"/>
    </row>
    <row r="4" spans="1:8" x14ac:dyDescent="0.25">
      <c r="A4" s="92" t="s">
        <v>330</v>
      </c>
      <c r="B4" s="93"/>
      <c r="C4" s="92"/>
      <c r="D4" s="92"/>
      <c r="E4" s="92"/>
      <c r="F4" s="92"/>
    </row>
    <row r="5" spans="1:8" x14ac:dyDescent="0.25">
      <c r="A5" s="92" t="s">
        <v>290</v>
      </c>
      <c r="B5" s="93"/>
      <c r="C5" s="92"/>
      <c r="D5" s="92"/>
      <c r="E5" s="92"/>
      <c r="F5" s="92"/>
    </row>
    <row r="6" spans="1:8" x14ac:dyDescent="0.25">
      <c r="A6" s="99" t="s">
        <v>334</v>
      </c>
      <c r="B6" s="100"/>
      <c r="C6" s="99"/>
      <c r="D6" s="99"/>
      <c r="E6" s="99"/>
      <c r="F6" s="99"/>
    </row>
    <row r="7" spans="1:8" x14ac:dyDescent="0.25">
      <c r="A7" s="101" t="s">
        <v>304</v>
      </c>
      <c r="B7" s="102"/>
      <c r="C7" s="101"/>
      <c r="D7" s="101"/>
      <c r="E7" s="101"/>
      <c r="F7" s="101"/>
    </row>
    <row r="8" spans="1:8" s="55" customFormat="1" x14ac:dyDescent="0.25">
      <c r="A8" s="101" t="s">
        <v>303</v>
      </c>
      <c r="B8" s="102"/>
      <c r="C8" s="101"/>
      <c r="D8" s="101"/>
      <c r="E8" s="101"/>
      <c r="F8" s="101"/>
    </row>
    <row r="9" spans="1:8" s="55" customFormat="1" x14ac:dyDescent="0.25">
      <c r="A9" s="101" t="s">
        <v>301</v>
      </c>
      <c r="B9" s="102"/>
      <c r="C9" s="101"/>
      <c r="D9" s="101"/>
      <c r="E9" s="101"/>
      <c r="F9" s="101"/>
    </row>
    <row r="10" spans="1:8" s="55" customFormat="1" x14ac:dyDescent="0.25">
      <c r="A10" s="101" t="s">
        <v>302</v>
      </c>
      <c r="B10" s="102"/>
      <c r="C10" s="101"/>
      <c r="D10" s="101"/>
      <c r="E10" s="101"/>
      <c r="F10" s="101"/>
    </row>
    <row r="11" spans="1:8" x14ac:dyDescent="0.25">
      <c r="A11" s="59" t="s">
        <v>9</v>
      </c>
    </row>
    <row r="12" spans="1:8" x14ac:dyDescent="0.25">
      <c r="A12" s="59" t="s">
        <v>10</v>
      </c>
      <c r="B12" s="59" t="s">
        <v>11</v>
      </c>
      <c r="C12" s="59" t="s">
        <v>13</v>
      </c>
      <c r="D12" s="59" t="s">
        <v>12</v>
      </c>
      <c r="E12" s="59" t="s">
        <v>17</v>
      </c>
    </row>
    <row r="13" spans="1:8" x14ac:dyDescent="0.25">
      <c r="A13" s="59" t="s">
        <v>14</v>
      </c>
      <c r="B13" s="56">
        <v>370</v>
      </c>
      <c r="C13" s="56">
        <v>390</v>
      </c>
      <c r="D13" s="56">
        <v>410</v>
      </c>
      <c r="E13" s="59" t="s">
        <v>18</v>
      </c>
      <c r="F13" s="103" t="str">
        <f>IF(VINMAX/VINMIN&gt;3,"Please Keep Input Voltage &lt; 3:1","")</f>
        <v/>
      </c>
    </row>
    <row r="14" spans="1:8" x14ac:dyDescent="0.25">
      <c r="A14" s="59" t="s">
        <v>15</v>
      </c>
      <c r="B14" s="56">
        <v>41.5</v>
      </c>
      <c r="C14" s="56">
        <v>42</v>
      </c>
      <c r="D14" s="56">
        <v>42.5</v>
      </c>
      <c r="E14" s="59" t="s">
        <v>18</v>
      </c>
      <c r="F14" s="96" t="str">
        <f>IF(VOUT&lt;1.5,"The Minimum Output Voltage &gt; 1.5 V","")</f>
        <v/>
      </c>
      <c r="G14" s="55"/>
      <c r="H14" s="55"/>
    </row>
    <row r="15" spans="1:8" ht="31.5" x14ac:dyDescent="0.25">
      <c r="A15" s="61" t="s">
        <v>16</v>
      </c>
      <c r="D15" s="56">
        <v>0.6</v>
      </c>
      <c r="E15" s="59" t="s">
        <v>18</v>
      </c>
      <c r="F15" s="96"/>
    </row>
    <row r="16" spans="1:8" ht="18.75" x14ac:dyDescent="0.35">
      <c r="A16" s="61" t="s">
        <v>22</v>
      </c>
      <c r="D16" s="56">
        <v>400</v>
      </c>
      <c r="E16" s="59" t="s">
        <v>19</v>
      </c>
    </row>
    <row r="17" spans="1:6" x14ac:dyDescent="0.25">
      <c r="A17" s="59" t="s">
        <v>24</v>
      </c>
      <c r="B17" s="57">
        <v>0.93</v>
      </c>
      <c r="D17" s="59" t="s">
        <v>20</v>
      </c>
      <c r="F17" s="96" t="str">
        <f>IF(Eff&gt;96%,"Please be Realistic with Efficiency Goal","")</f>
        <v/>
      </c>
    </row>
    <row r="18" spans="1:6" ht="18.75" x14ac:dyDescent="0.35">
      <c r="A18" s="59" t="s">
        <v>23</v>
      </c>
      <c r="C18" s="56">
        <v>100</v>
      </c>
      <c r="E18" s="59" t="s">
        <v>21</v>
      </c>
      <c r="F18" s="95" t="str">
        <f>IF(fs&gt;1000,"UCC28950 Can Only Achieve 1MHz Switching Frequency","")</f>
        <v/>
      </c>
    </row>
    <row r="19" spans="1:6" x14ac:dyDescent="0.25">
      <c r="A19" s="62"/>
      <c r="B19" s="62"/>
      <c r="C19" s="62"/>
      <c r="D19" s="62"/>
      <c r="E19" s="62"/>
      <c r="F19" s="62"/>
    </row>
    <row r="20" spans="1:6" x14ac:dyDescent="0.25">
      <c r="A20" s="91" t="s">
        <v>175</v>
      </c>
      <c r="B20" s="91"/>
      <c r="C20" s="91"/>
      <c r="D20" s="91"/>
      <c r="E20" s="91"/>
      <c r="F20" s="91"/>
    </row>
    <row r="21" spans="1:6" x14ac:dyDescent="0.25">
      <c r="A21" s="59" t="s">
        <v>10</v>
      </c>
      <c r="B21" s="59" t="s">
        <v>28</v>
      </c>
      <c r="D21" s="59" t="s">
        <v>17</v>
      </c>
    </row>
    <row r="22" spans="1:6" ht="18.75" x14ac:dyDescent="0.35">
      <c r="A22" s="59" t="s">
        <v>114</v>
      </c>
      <c r="B22" s="64" t="s">
        <v>25</v>
      </c>
      <c r="C22" s="64">
        <f>pout*(1-Eff)/Eff</f>
        <v>30.107526881720407</v>
      </c>
      <c r="D22" s="59" t="s">
        <v>19</v>
      </c>
    </row>
    <row r="23" spans="1:6" ht="18.75" x14ac:dyDescent="0.35">
      <c r="A23" s="59" t="s">
        <v>115</v>
      </c>
      <c r="B23" s="59" t="s">
        <v>26</v>
      </c>
      <c r="C23" s="59">
        <v>0.3</v>
      </c>
      <c r="D23" s="59" t="s">
        <v>18</v>
      </c>
    </row>
    <row r="24" spans="1:6" ht="18.75" x14ac:dyDescent="0.35">
      <c r="A24" s="59" t="s">
        <v>30</v>
      </c>
      <c r="B24" s="59" t="s">
        <v>32</v>
      </c>
      <c r="C24" s="70">
        <v>0.7</v>
      </c>
    </row>
    <row r="25" spans="1:6" ht="18.75" x14ac:dyDescent="0.35">
      <c r="A25" s="59" t="s">
        <v>29</v>
      </c>
      <c r="B25" s="59" t="s">
        <v>27</v>
      </c>
      <c r="C25" s="67">
        <f>((VINMIN-2*vrdson)*dmax)/(VOUT+vrdson)</f>
        <v>6.1130023640661939</v>
      </c>
      <c r="D25" s="59" t="s">
        <v>20</v>
      </c>
      <c r="E25" s="59" t="s">
        <v>20</v>
      </c>
    </row>
    <row r="26" spans="1:6" x14ac:dyDescent="0.25">
      <c r="A26" s="59" t="s">
        <v>305</v>
      </c>
      <c r="B26" s="59" t="s">
        <v>27</v>
      </c>
      <c r="C26" s="3">
        <v>6</v>
      </c>
    </row>
    <row r="27" spans="1:6" s="65" customFormat="1" ht="18.75" x14ac:dyDescent="0.35">
      <c r="A27" s="65" t="s">
        <v>31</v>
      </c>
      <c r="B27" s="65" t="s">
        <v>33</v>
      </c>
      <c r="C27" s="70">
        <f>((VOUT+vrdson)*_taa1)/((vin-2*vrdson))</f>
        <v>0.65177195685670264</v>
      </c>
      <c r="D27" s="104" t="str">
        <f>IF(dtyp&gt;1,"Turns Ratio a1 in Error, Pleast Adjust","")</f>
        <v/>
      </c>
    </row>
    <row r="28" spans="1:6" ht="18.75" x14ac:dyDescent="0.35">
      <c r="A28" s="59" t="s">
        <v>34</v>
      </c>
      <c r="B28" s="83" t="s">
        <v>244</v>
      </c>
      <c r="C28" s="59">
        <f>pout*0.2/VOUT</f>
        <v>1.9047619047619047</v>
      </c>
      <c r="D28" s="59" t="s">
        <v>35</v>
      </c>
    </row>
    <row r="29" spans="1:6" ht="18.75" x14ac:dyDescent="0.35">
      <c r="A29" s="59" t="s">
        <v>263</v>
      </c>
      <c r="B29" s="59" t="s">
        <v>36</v>
      </c>
      <c r="C29" s="65">
        <f>(vin*(1-dtyp)*_taa1)/(dilout*0.5*fs)</f>
        <v>8.5559630200308163</v>
      </c>
      <c r="D29" s="59" t="s">
        <v>37</v>
      </c>
    </row>
    <row r="30" spans="1:6" ht="18.75" x14ac:dyDescent="0.35">
      <c r="A30" s="59" t="s">
        <v>291</v>
      </c>
      <c r="B30" s="59" t="s">
        <v>38</v>
      </c>
      <c r="C30" s="64">
        <f>(pout/VOUT)+(dilout/2)</f>
        <v>10.476190476190476</v>
      </c>
      <c r="D30" s="59" t="s">
        <v>35</v>
      </c>
      <c r="E30" s="59" t="s">
        <v>20</v>
      </c>
    </row>
    <row r="31" spans="1:6" ht="18.75" x14ac:dyDescent="0.35">
      <c r="A31" s="59" t="s">
        <v>291</v>
      </c>
      <c r="B31" s="59" t="s">
        <v>39</v>
      </c>
      <c r="C31" s="64">
        <f>(pout/VOUT)-(dilout/2)</f>
        <v>8.5714285714285712</v>
      </c>
      <c r="D31" s="59" t="s">
        <v>35</v>
      </c>
      <c r="E31" s="76"/>
    </row>
    <row r="32" spans="1:6" ht="18.75" x14ac:dyDescent="0.35">
      <c r="A32" s="59" t="s">
        <v>291</v>
      </c>
      <c r="B32" s="59" t="s">
        <v>41</v>
      </c>
      <c r="C32" s="64">
        <f>ips-(dilout/2)</f>
        <v>9.5238095238095237</v>
      </c>
      <c r="D32" s="59" t="s">
        <v>35</v>
      </c>
      <c r="E32" s="65" t="s">
        <v>20</v>
      </c>
    </row>
    <row r="33" spans="1:5" ht="18.75" x14ac:dyDescent="0.35">
      <c r="A33" s="59" t="s">
        <v>245</v>
      </c>
      <c r="B33" s="59" t="s">
        <v>40</v>
      </c>
      <c r="C33" s="64">
        <f>((dmax/2)*(ips*ims+(((ips-ims)^2)/3)))^0.5</f>
        <v>5.6437444885334642</v>
      </c>
      <c r="D33" s="59" t="s">
        <v>35</v>
      </c>
      <c r="E33" s="64" t="s">
        <v>20</v>
      </c>
    </row>
    <row r="34" spans="1:5" ht="18.75" x14ac:dyDescent="0.35">
      <c r="A34" s="59" t="s">
        <v>245</v>
      </c>
      <c r="B34" s="59" t="s">
        <v>42</v>
      </c>
      <c r="C34" s="64">
        <f>(((1-dmax)/2)*(ips*_ims2+(((ips-_ims2)^2)/3)))^0.5</f>
        <v>3.8744467822491413</v>
      </c>
      <c r="D34" s="59" t="s">
        <v>35</v>
      </c>
      <c r="E34" s="59" t="s">
        <v>20</v>
      </c>
    </row>
    <row r="35" spans="1:5" ht="18.75" x14ac:dyDescent="0.35">
      <c r="A35" s="59" t="s">
        <v>245</v>
      </c>
      <c r="B35" s="59" t="s">
        <v>43</v>
      </c>
      <c r="C35" s="64">
        <f>(dilout/2)*((1-dmax)/6)^0.5</f>
        <v>0.21295885499997999</v>
      </c>
      <c r="D35" s="59" t="s">
        <v>35</v>
      </c>
      <c r="E35" s="59" t="s">
        <v>20</v>
      </c>
    </row>
    <row r="36" spans="1:5" ht="18.75" x14ac:dyDescent="0.35">
      <c r="A36" s="59" t="s">
        <v>264</v>
      </c>
      <c r="B36" s="59" t="s">
        <v>44</v>
      </c>
      <c r="C36" s="64">
        <f>(isrms1^2+isrms2^2+isrms3^2)^0.5</f>
        <v>6.8489810332819197</v>
      </c>
      <c r="D36" s="59" t="s">
        <v>35</v>
      </c>
    </row>
    <row r="37" spans="1:5" ht="18.75" x14ac:dyDescent="0.35">
      <c r="A37" s="59" t="s">
        <v>292</v>
      </c>
      <c r="B37" s="83" t="s">
        <v>331</v>
      </c>
      <c r="C37" s="64">
        <f>(VINMIN*dmax)/(lmag*fs)</f>
        <v>0.30271285581020096</v>
      </c>
      <c r="D37" s="59" t="s">
        <v>35</v>
      </c>
    </row>
    <row r="38" spans="1:5" ht="18.75" x14ac:dyDescent="0.35">
      <c r="A38" s="59" t="s">
        <v>291</v>
      </c>
      <c r="B38" s="59" t="s">
        <v>46</v>
      </c>
      <c r="C38" s="64">
        <f>(((pout/(VOUT*Eff))+dilout/2)/_taa1)+dilmag</f>
        <v>2.1682189148646467</v>
      </c>
      <c r="D38" s="59" t="s">
        <v>35</v>
      </c>
    </row>
    <row r="39" spans="1:5" ht="18.75" x14ac:dyDescent="0.35">
      <c r="A39" s="59" t="s">
        <v>291</v>
      </c>
      <c r="B39" s="59" t="s">
        <v>47</v>
      </c>
      <c r="C39" s="64">
        <f>(((pout/(VOUT*Eff))-dilout/2)/_taa1)+dilmag</f>
        <v>1.8507585974043295</v>
      </c>
      <c r="D39" s="59" t="s">
        <v>35</v>
      </c>
    </row>
    <row r="40" spans="1:5" ht="18.75" x14ac:dyDescent="0.35">
      <c r="A40" s="59" t="s">
        <v>291</v>
      </c>
      <c r="B40" s="59" t="s">
        <v>48</v>
      </c>
      <c r="C40" s="64">
        <f>ipp-((dilout/2)/_ta1)</f>
        <v>2.0124229743985849</v>
      </c>
      <c r="D40" s="59" t="s">
        <v>35</v>
      </c>
    </row>
    <row r="41" spans="1:5" ht="18.75" x14ac:dyDescent="0.35">
      <c r="A41" s="59" t="s">
        <v>245</v>
      </c>
      <c r="B41" s="59" t="s">
        <v>49</v>
      </c>
      <c r="C41" s="64">
        <f>((dmax)*(ipp*imp+(((ipp-imp)^2)/3)))^0.5</f>
        <v>1.6830063688202241</v>
      </c>
      <c r="D41" s="59" t="s">
        <v>35</v>
      </c>
    </row>
    <row r="42" spans="1:5" ht="18.75" x14ac:dyDescent="0.35">
      <c r="A42" s="59" t="s">
        <v>245</v>
      </c>
      <c r="B42" s="59" t="s">
        <v>50</v>
      </c>
      <c r="C42" s="64">
        <f>(((1-dmax))*(ipp*_imp2+(((ipp-_imp2)^2)/3)))^0.5</f>
        <v>1.1451809048557899</v>
      </c>
      <c r="D42" s="59" t="s">
        <v>35</v>
      </c>
    </row>
    <row r="43" spans="1:5" ht="18.75" x14ac:dyDescent="0.35">
      <c r="A43" s="59" t="s">
        <v>293</v>
      </c>
      <c r="B43" s="59" t="s">
        <v>52</v>
      </c>
      <c r="C43" s="64">
        <f>((iprms1)^2+(iprms2)^2)^0.5</f>
        <v>2.0356693597772115</v>
      </c>
      <c r="D43" s="59" t="s">
        <v>35</v>
      </c>
    </row>
    <row r="44" spans="1:5" ht="18.75" x14ac:dyDescent="0.35">
      <c r="A44" s="59" t="s">
        <v>73</v>
      </c>
      <c r="B44" s="59" t="s">
        <v>36</v>
      </c>
      <c r="C44" s="105">
        <v>9</v>
      </c>
      <c r="D44" s="59" t="s">
        <v>37</v>
      </c>
      <c r="E44" s="95" t="str">
        <f>IF(lmag2&lt;lmag,"Please make Lmag &gt; or = Calculated Lmag","")</f>
        <v/>
      </c>
    </row>
    <row r="45" spans="1:5" ht="18.75" x14ac:dyDescent="0.35">
      <c r="A45" s="59" t="s">
        <v>55</v>
      </c>
      <c r="B45" s="59" t="s">
        <v>51</v>
      </c>
      <c r="C45" s="105">
        <v>215</v>
      </c>
      <c r="D45" s="59" t="s">
        <v>206</v>
      </c>
    </row>
    <row r="46" spans="1:5" ht="18.75" x14ac:dyDescent="0.35">
      <c r="A46" s="59" t="s">
        <v>56</v>
      </c>
      <c r="B46" s="59" t="s">
        <v>53</v>
      </c>
      <c r="C46" s="105">
        <v>0.57999999999999996</v>
      </c>
      <c r="D46" s="59" t="s">
        <v>206</v>
      </c>
    </row>
    <row r="47" spans="1:5" ht="18.75" x14ac:dyDescent="0.35">
      <c r="A47" s="59" t="s">
        <v>300</v>
      </c>
      <c r="B47" s="59" t="s">
        <v>299</v>
      </c>
      <c r="C47" s="105">
        <v>7.5</v>
      </c>
      <c r="D47" s="59" t="s">
        <v>75</v>
      </c>
    </row>
    <row r="48" spans="1:5" ht="18.75" x14ac:dyDescent="0.35">
      <c r="A48" s="66" t="s">
        <v>57</v>
      </c>
      <c r="B48" s="59" t="s">
        <v>54</v>
      </c>
      <c r="C48" s="65">
        <f>2*((iprms^2*(dcrp/1000))+2*(isrms^2*(dcrs/1000)))</f>
        <v>1.8907262047750504</v>
      </c>
      <c r="D48" s="59" t="s">
        <v>19</v>
      </c>
    </row>
    <row r="49" spans="1:6" ht="18.75" x14ac:dyDescent="0.35">
      <c r="A49" s="59" t="s">
        <v>58</v>
      </c>
      <c r="B49" s="59" t="s">
        <v>25</v>
      </c>
      <c r="C49" s="65">
        <f>pbudget-C48</f>
        <v>28.216800676945358</v>
      </c>
      <c r="D49" s="59" t="s">
        <v>19</v>
      </c>
      <c r="E49" s="95" t="str">
        <f>IF(C49&lt;0,"PBudget Cannot be Made with Selected Components","")</f>
        <v/>
      </c>
    </row>
    <row r="50" spans="1:6" x14ac:dyDescent="0.25">
      <c r="A50" s="91" t="s">
        <v>59</v>
      </c>
      <c r="B50" s="91"/>
      <c r="C50" s="91" t="s">
        <v>20</v>
      </c>
      <c r="D50" s="91"/>
      <c r="E50" s="91"/>
      <c r="F50" s="91"/>
    </row>
    <row r="51" spans="1:6" ht="18.75" x14ac:dyDescent="0.35">
      <c r="A51" s="66" t="s">
        <v>280</v>
      </c>
      <c r="B51" s="59" t="s">
        <v>70</v>
      </c>
      <c r="C51" s="4">
        <v>15</v>
      </c>
      <c r="D51" s="59" t="s">
        <v>18</v>
      </c>
    </row>
    <row r="52" spans="1:6" ht="18.75" x14ac:dyDescent="0.35">
      <c r="A52" s="59" t="s">
        <v>61</v>
      </c>
      <c r="B52" s="59" t="s">
        <v>60</v>
      </c>
      <c r="C52" s="4">
        <v>280</v>
      </c>
      <c r="D52" s="59" t="s">
        <v>206</v>
      </c>
    </row>
    <row r="53" spans="1:6" ht="18.75" x14ac:dyDescent="0.35">
      <c r="A53" s="59" t="s">
        <v>62</v>
      </c>
      <c r="B53" s="59" t="s">
        <v>64</v>
      </c>
      <c r="C53" s="4">
        <v>55</v>
      </c>
      <c r="D53" s="59" t="s">
        <v>63</v>
      </c>
    </row>
    <row r="54" spans="1:6" ht="18.75" x14ac:dyDescent="0.35">
      <c r="A54" s="59" t="s">
        <v>116</v>
      </c>
      <c r="B54" s="59" t="s">
        <v>71</v>
      </c>
      <c r="C54" s="4">
        <v>41</v>
      </c>
      <c r="D54" s="59" t="s">
        <v>72</v>
      </c>
    </row>
    <row r="55" spans="1:6" ht="36" x14ac:dyDescent="0.35">
      <c r="A55" s="61" t="s">
        <v>117</v>
      </c>
      <c r="B55" s="59" t="s">
        <v>65</v>
      </c>
      <c r="C55" s="4">
        <v>100</v>
      </c>
      <c r="D55" s="59" t="s">
        <v>18</v>
      </c>
    </row>
    <row r="56" spans="1:6" ht="18.75" x14ac:dyDescent="0.35">
      <c r="A56" s="59" t="s">
        <v>66</v>
      </c>
      <c r="B56" s="59" t="s">
        <v>67</v>
      </c>
      <c r="C56" s="67">
        <f>C53*((C55/VINMAX)^0.5)</f>
        <v>27.162563907863714</v>
      </c>
      <c r="D56" s="59" t="s">
        <v>63</v>
      </c>
    </row>
    <row r="57" spans="1:6" ht="18.75" x14ac:dyDescent="0.35">
      <c r="A57" s="59" t="s">
        <v>69</v>
      </c>
      <c r="B57" s="59" t="s">
        <v>68</v>
      </c>
      <c r="C57" s="64">
        <f>((iprms^2)*(rdsonqa/1000))+(2*(QAg*0.000000001)*vg*(fs*1000/2))</f>
        <v>1.2218059278540134</v>
      </c>
      <c r="D57" s="59" t="s">
        <v>19</v>
      </c>
    </row>
    <row r="58" spans="1:6" ht="18.75" x14ac:dyDescent="0.35">
      <c r="A58" s="59" t="s">
        <v>58</v>
      </c>
      <c r="B58" s="59" t="s">
        <v>25</v>
      </c>
      <c r="C58" s="64">
        <f>C49-4*C57</f>
        <v>23.329576965529306</v>
      </c>
      <c r="D58" s="59" t="s">
        <v>19</v>
      </c>
      <c r="E58" s="95" t="str">
        <f>IF(C58&lt;0,"PBudget Cannot be Made with Selected Components","")</f>
        <v/>
      </c>
    </row>
    <row r="59" spans="1:6" ht="18.75" x14ac:dyDescent="0.35">
      <c r="A59" s="91" t="s">
        <v>283</v>
      </c>
      <c r="B59" s="63"/>
      <c r="C59" s="68"/>
      <c r="D59" s="63"/>
      <c r="E59" s="91"/>
      <c r="F59" s="91"/>
    </row>
    <row r="60" spans="1:6" ht="18.75" x14ac:dyDescent="0.35">
      <c r="A60" s="59" t="s">
        <v>86</v>
      </c>
      <c r="B60" s="59" t="s">
        <v>74</v>
      </c>
      <c r="C60" s="65">
        <f>(((2*cossqaavg*0.000000000001)*((vin)^2)/((ipp/2)-(dilout/(2*_ta1)))^2)*1000000)-llk</f>
        <v>2.0882781138913522</v>
      </c>
      <c r="D60" s="59" t="s">
        <v>75</v>
      </c>
      <c r="E60" s="95" t="str">
        <f>IF(C60&lt;0,"Calculated Ls is Negative and Ls Might Not be Needed, However, Leave a Place Holder for Ls Just in Case","")</f>
        <v/>
      </c>
    </row>
    <row r="61" spans="1:6" ht="18.75" x14ac:dyDescent="0.35">
      <c r="A61" s="59" t="s">
        <v>173</v>
      </c>
      <c r="B61" s="59" t="s">
        <v>74</v>
      </c>
      <c r="C61" s="105">
        <v>60</v>
      </c>
      <c r="D61" s="59" t="s">
        <v>75</v>
      </c>
    </row>
    <row r="62" spans="1:6" ht="18.75" x14ac:dyDescent="0.35">
      <c r="A62" s="59" t="s">
        <v>77</v>
      </c>
      <c r="B62" s="59" t="s">
        <v>76</v>
      </c>
      <c r="C62" s="105">
        <v>27</v>
      </c>
      <c r="D62" s="59" t="s">
        <v>206</v>
      </c>
    </row>
    <row r="63" spans="1:6" ht="18.75" x14ac:dyDescent="0.35">
      <c r="A63" s="59" t="s">
        <v>78</v>
      </c>
      <c r="B63" s="59" t="s">
        <v>79</v>
      </c>
      <c r="C63" s="64">
        <f>2*iprms^2*(C62*0.001)</f>
        <v>0.22377328608613115</v>
      </c>
      <c r="D63" s="59" t="s">
        <v>19</v>
      </c>
    </row>
    <row r="64" spans="1:6" ht="18.75" x14ac:dyDescent="0.35">
      <c r="A64" s="59" t="s">
        <v>58</v>
      </c>
      <c r="B64" s="59" t="s">
        <v>25</v>
      </c>
      <c r="C64" s="64">
        <f>C58-C63</f>
        <v>23.105803679443174</v>
      </c>
      <c r="D64" s="59" t="s">
        <v>19</v>
      </c>
      <c r="E64" s="95" t="str">
        <f>IF(C64&lt;0,"PBudget Cannot be Made with Selected Components","")</f>
        <v/>
      </c>
    </row>
    <row r="65" spans="1:6" ht="18.75" x14ac:dyDescent="0.35">
      <c r="A65" s="91" t="s">
        <v>284</v>
      </c>
      <c r="B65" s="63"/>
      <c r="C65" s="68"/>
      <c r="D65" s="63"/>
      <c r="E65" s="91"/>
      <c r="F65" s="91"/>
    </row>
    <row r="66" spans="1:6" ht="18.75" x14ac:dyDescent="0.35">
      <c r="A66" s="59" t="s">
        <v>87</v>
      </c>
      <c r="B66" s="59" t="s">
        <v>80</v>
      </c>
      <c r="C66" s="65">
        <f>((VOUT*(1-dtyp))/(dilout*fs))*1000</f>
        <v>76.78428351309708</v>
      </c>
      <c r="D66" s="59" t="s">
        <v>75</v>
      </c>
    </row>
    <row r="67" spans="1:6" ht="18.75" x14ac:dyDescent="0.35">
      <c r="A67" s="59" t="s">
        <v>84</v>
      </c>
      <c r="B67" s="59" t="s">
        <v>85</v>
      </c>
      <c r="C67" s="64">
        <f>((pout/VOUT)^2+(dilout/(3^0.5))^2)^0.5</f>
        <v>9.5870913463755549</v>
      </c>
      <c r="D67" s="59" t="s">
        <v>35</v>
      </c>
    </row>
    <row r="68" spans="1:6" ht="18.75" x14ac:dyDescent="0.35">
      <c r="A68" s="59" t="s">
        <v>174</v>
      </c>
      <c r="B68" s="59" t="s">
        <v>80</v>
      </c>
      <c r="C68" s="105">
        <v>90</v>
      </c>
      <c r="D68" s="59" t="s">
        <v>75</v>
      </c>
      <c r="E68" s="59" t="str">
        <f>IF(lout&lt;(C66*0.9),"Lout needs to be &gt; or = Lout Calculated","")</f>
        <v/>
      </c>
    </row>
    <row r="69" spans="1:6" ht="18.75" x14ac:dyDescent="0.35">
      <c r="A69" s="59" t="s">
        <v>265</v>
      </c>
      <c r="B69" s="59" t="s">
        <v>81</v>
      </c>
      <c r="C69" s="105">
        <v>0.75</v>
      </c>
      <c r="D69" s="59" t="s">
        <v>206</v>
      </c>
    </row>
    <row r="70" spans="1:6" ht="18.75" x14ac:dyDescent="0.35">
      <c r="A70" s="59" t="s">
        <v>82</v>
      </c>
      <c r="B70" s="59" t="s">
        <v>83</v>
      </c>
      <c r="C70" s="59">
        <f>2*iloutrms^2*dcrlout*0.001</f>
        <v>0.13786848072562358</v>
      </c>
      <c r="D70" s="59" t="s">
        <v>19</v>
      </c>
    </row>
    <row r="71" spans="1:6" ht="18.75" x14ac:dyDescent="0.35">
      <c r="A71" s="59" t="s">
        <v>58</v>
      </c>
      <c r="B71" s="59" t="s">
        <v>25</v>
      </c>
      <c r="C71" s="64">
        <f>C64-C70</f>
        <v>22.967935198717552</v>
      </c>
      <c r="D71" s="59" t="s">
        <v>19</v>
      </c>
      <c r="E71" s="95" t="str">
        <f>IF(C71&lt;0,"PBudget Cannot be Made with Selected Components","")</f>
        <v/>
      </c>
    </row>
    <row r="72" spans="1:6" ht="18.75" x14ac:dyDescent="0.35">
      <c r="A72" s="91" t="s">
        <v>285</v>
      </c>
      <c r="B72" s="63"/>
      <c r="C72" s="68"/>
      <c r="D72" s="63"/>
      <c r="E72" s="91"/>
      <c r="F72" s="91"/>
    </row>
    <row r="73" spans="1:6" ht="18.75" x14ac:dyDescent="0.35">
      <c r="A73" s="59" t="s">
        <v>89</v>
      </c>
      <c r="B73" s="59" t="s">
        <v>88</v>
      </c>
      <c r="C73" s="59">
        <f>((lout*pout*0.9)/VOUT)/VOUT</f>
        <v>18.367346938775512</v>
      </c>
      <c r="D73" s="59" t="s">
        <v>90</v>
      </c>
    </row>
    <row r="74" spans="1:6" ht="18.75" x14ac:dyDescent="0.35">
      <c r="A74" s="59" t="s">
        <v>207</v>
      </c>
      <c r="B74" s="59" t="s">
        <v>91</v>
      </c>
      <c r="C74" s="59">
        <f>((VTRAN*0.9)/((pout*0.9)/VOUT))*10^3</f>
        <v>63</v>
      </c>
      <c r="D74" s="59" t="s">
        <v>206</v>
      </c>
    </row>
    <row r="75" spans="1:6" ht="18.75" x14ac:dyDescent="0.35">
      <c r="A75" s="59" t="s">
        <v>208</v>
      </c>
      <c r="B75" s="59" t="s">
        <v>92</v>
      </c>
      <c r="C75" s="59">
        <f>(pout*0.9*thu)/(VOUT*VTRAN*0.1)</f>
        <v>2623.9067055393589</v>
      </c>
      <c r="D75" s="59" t="s">
        <v>93</v>
      </c>
    </row>
    <row r="76" spans="1:6" ht="18.75" x14ac:dyDescent="0.35">
      <c r="A76" s="59" t="s">
        <v>99</v>
      </c>
      <c r="B76" s="59" t="s">
        <v>98</v>
      </c>
      <c r="C76" s="64">
        <f>dilout/(3^0.5)</f>
        <v>1.0997147984564299</v>
      </c>
      <c r="D76" s="59" t="s">
        <v>35</v>
      </c>
    </row>
    <row r="77" spans="1:6" x14ac:dyDescent="0.25">
      <c r="A77" s="59" t="s">
        <v>176</v>
      </c>
      <c r="B77" s="59" t="s">
        <v>94</v>
      </c>
      <c r="C77" s="4">
        <v>3</v>
      </c>
    </row>
    <row r="78" spans="1:6" x14ac:dyDescent="0.25">
      <c r="A78" s="59" t="s">
        <v>95</v>
      </c>
      <c r="C78" s="4">
        <v>1000</v>
      </c>
      <c r="D78" s="59" t="s">
        <v>93</v>
      </c>
    </row>
    <row r="79" spans="1:6" x14ac:dyDescent="0.25">
      <c r="A79" s="59" t="s">
        <v>96</v>
      </c>
      <c r="C79" s="4">
        <v>31</v>
      </c>
      <c r="D79" s="59" t="s">
        <v>206</v>
      </c>
    </row>
    <row r="80" spans="1:6" ht="18.75" x14ac:dyDescent="0.35">
      <c r="A80" s="59" t="s">
        <v>97</v>
      </c>
      <c r="B80" s="59" t="s">
        <v>92</v>
      </c>
      <c r="C80" s="59">
        <f>C77*C78</f>
        <v>3000</v>
      </c>
      <c r="D80" s="59" t="s">
        <v>93</v>
      </c>
    </row>
    <row r="81" spans="1:6" ht="18.75" x14ac:dyDescent="0.35">
      <c r="A81" s="59" t="s">
        <v>266</v>
      </c>
      <c r="B81" s="59" t="s">
        <v>91</v>
      </c>
      <c r="C81" s="65">
        <f>C79/C77</f>
        <v>10.333333333333334</v>
      </c>
      <c r="D81" s="59" t="s">
        <v>206</v>
      </c>
    </row>
    <row r="82" spans="1:6" ht="18.75" x14ac:dyDescent="0.35">
      <c r="A82" s="59" t="s">
        <v>100</v>
      </c>
      <c r="B82" s="59" t="s">
        <v>101</v>
      </c>
      <c r="C82" s="64">
        <f>(C76^2)*C81*0.001</f>
        <v>1.2496850592088686E-2</v>
      </c>
      <c r="D82" s="59" t="s">
        <v>19</v>
      </c>
    </row>
    <row r="83" spans="1:6" ht="18.75" x14ac:dyDescent="0.35">
      <c r="A83" s="59" t="s">
        <v>58</v>
      </c>
      <c r="B83" s="59" t="s">
        <v>25</v>
      </c>
      <c r="C83" s="64">
        <f>C71-C82</f>
        <v>22.955438348125462</v>
      </c>
      <c r="D83" s="59" t="s">
        <v>19</v>
      </c>
      <c r="E83" s="95" t="str">
        <f>IF(C83&lt;0,"PBudget Cannot be Made with Selected Components","")</f>
        <v/>
      </c>
    </row>
    <row r="84" spans="1:6" x14ac:dyDescent="0.25">
      <c r="A84" s="91" t="s">
        <v>110</v>
      </c>
      <c r="B84" s="63"/>
      <c r="C84" s="63"/>
      <c r="D84" s="63"/>
      <c r="E84" s="91"/>
      <c r="F84" s="91"/>
    </row>
    <row r="85" spans="1:6" ht="18.75" x14ac:dyDescent="0.35">
      <c r="A85" s="59" t="s">
        <v>136</v>
      </c>
      <c r="B85" s="59" t="s">
        <v>118</v>
      </c>
      <c r="C85" s="5">
        <f>VINMAX/_taa1</f>
        <v>68.333333333333329</v>
      </c>
      <c r="D85" s="59" t="s">
        <v>18</v>
      </c>
    </row>
    <row r="86" spans="1:6" ht="18.75" x14ac:dyDescent="0.35">
      <c r="A86" s="59" t="s">
        <v>113</v>
      </c>
      <c r="B86" s="59" t="s">
        <v>111</v>
      </c>
      <c r="C86" s="4">
        <v>52</v>
      </c>
      <c r="D86" s="59" t="s">
        <v>72</v>
      </c>
    </row>
    <row r="87" spans="1:6" ht="18.75" x14ac:dyDescent="0.35">
      <c r="A87" s="59" t="s">
        <v>267</v>
      </c>
      <c r="B87" s="59" t="s">
        <v>112</v>
      </c>
      <c r="C87" s="4">
        <v>5.4</v>
      </c>
      <c r="D87" s="59" t="s">
        <v>206</v>
      </c>
    </row>
    <row r="88" spans="1:6" ht="18.75" x14ac:dyDescent="0.35">
      <c r="A88" s="59" t="s">
        <v>120</v>
      </c>
      <c r="B88" s="59" t="s">
        <v>119</v>
      </c>
      <c r="C88" s="4">
        <v>40</v>
      </c>
      <c r="D88" s="59" t="s">
        <v>18</v>
      </c>
    </row>
    <row r="89" spans="1:6" ht="18.75" x14ac:dyDescent="0.35">
      <c r="A89" s="59" t="s">
        <v>122</v>
      </c>
      <c r="B89" s="59" t="s">
        <v>121</v>
      </c>
      <c r="C89" s="4">
        <v>963</v>
      </c>
      <c r="D89" s="59" t="s">
        <v>63</v>
      </c>
    </row>
    <row r="90" spans="1:6" ht="18.75" x14ac:dyDescent="0.35">
      <c r="A90" s="59" t="s">
        <v>124</v>
      </c>
      <c r="B90" s="59" t="s">
        <v>123</v>
      </c>
      <c r="C90" s="67">
        <f>C89*((C85/C88)^0.5)</f>
        <v>1258.6720680939893</v>
      </c>
      <c r="D90" s="59" t="s">
        <v>63</v>
      </c>
    </row>
    <row r="91" spans="1:6" ht="18.75" x14ac:dyDescent="0.35">
      <c r="A91" s="59" t="s">
        <v>125</v>
      </c>
      <c r="B91" s="59" t="s">
        <v>126</v>
      </c>
      <c r="C91" s="64">
        <f>isrms</f>
        <v>6.8489810332819197</v>
      </c>
      <c r="D91" s="59" t="s">
        <v>35</v>
      </c>
    </row>
    <row r="92" spans="1:6" ht="18.75" x14ac:dyDescent="0.35">
      <c r="A92" s="59" t="s">
        <v>129</v>
      </c>
      <c r="B92" s="59" t="s">
        <v>127</v>
      </c>
      <c r="C92" s="4">
        <v>27</v>
      </c>
      <c r="D92" s="59" t="s">
        <v>72</v>
      </c>
    </row>
    <row r="93" spans="1:6" ht="18.75" x14ac:dyDescent="0.35">
      <c r="A93" s="59" t="s">
        <v>268</v>
      </c>
      <c r="B93" s="59" t="s">
        <v>128</v>
      </c>
      <c r="C93" s="4">
        <v>19</v>
      </c>
      <c r="D93" s="59" t="s">
        <v>72</v>
      </c>
    </row>
    <row r="94" spans="1:6" ht="18.75" x14ac:dyDescent="0.35">
      <c r="A94" s="59" t="s">
        <v>130</v>
      </c>
      <c r="B94" s="59" t="s">
        <v>131</v>
      </c>
      <c r="C94" s="3">
        <v>4</v>
      </c>
      <c r="D94" s="59" t="s">
        <v>35</v>
      </c>
    </row>
    <row r="95" spans="1:6" ht="18.75" x14ac:dyDescent="0.35">
      <c r="A95" s="59" t="s">
        <v>269</v>
      </c>
      <c r="B95" s="59" t="s">
        <v>132</v>
      </c>
      <c r="C95" s="59">
        <f>(C92-C93)/(C94/2)</f>
        <v>4</v>
      </c>
      <c r="D95" s="59" t="s">
        <v>133</v>
      </c>
    </row>
    <row r="96" spans="1:6" ht="18.75" x14ac:dyDescent="0.35">
      <c r="A96" s="59" t="s">
        <v>134</v>
      </c>
      <c r="B96" s="59" t="s">
        <v>135</v>
      </c>
      <c r="C96" s="64">
        <f>((isrms^2)*(rdsonqe*0.001))+(pout/VOUT)*vdsqe*(2*tr*0.000000001)*((fs*1000)/2)+(2*(cossqeavg*0.000000000001)*(vdsqe^2)*((fs*1000)/2))+(2*(qeg*0.000000001)*vg*((fs*1000)/2))</f>
        <v>1.1793535123403276</v>
      </c>
      <c r="D96" s="59" t="s">
        <v>19</v>
      </c>
    </row>
    <row r="97" spans="1:6" ht="18.75" x14ac:dyDescent="0.35">
      <c r="A97" s="61" t="s">
        <v>58</v>
      </c>
      <c r="B97" s="59" t="s">
        <v>25</v>
      </c>
      <c r="C97" s="64">
        <f>C83-2*C96</f>
        <v>20.596731323444807</v>
      </c>
      <c r="D97" s="59" t="s">
        <v>19</v>
      </c>
      <c r="E97" s="95" t="str">
        <f>IF(C97&lt;0,"PBudget Cannot be Made with Selected Components","")</f>
        <v/>
      </c>
    </row>
    <row r="98" spans="1:6" ht="18.75" x14ac:dyDescent="0.35">
      <c r="A98" s="91" t="s">
        <v>286</v>
      </c>
      <c r="B98" s="63"/>
      <c r="C98" s="68"/>
      <c r="D98" s="63"/>
      <c r="E98" s="91"/>
      <c r="F98" s="91"/>
    </row>
    <row r="99" spans="1:6" hidden="1" x14ac:dyDescent="0.25">
      <c r="A99" s="61" t="s">
        <v>167</v>
      </c>
      <c r="B99" s="59" t="s">
        <v>166</v>
      </c>
      <c r="C99" s="64">
        <f>1/(2*PI()*(ls*0.000001*2*cossqaavg*0.000000000001)^0.5)</f>
        <v>2787687.7589623276</v>
      </c>
      <c r="D99" s="59" t="s">
        <v>20</v>
      </c>
    </row>
    <row r="100" spans="1:6" ht="18.75" x14ac:dyDescent="0.35">
      <c r="A100" s="61" t="s">
        <v>168</v>
      </c>
      <c r="B100" s="59" t="s">
        <v>165</v>
      </c>
      <c r="C100" s="67">
        <f>2.2*1000000000/(C99*4)</f>
        <v>197.29612767131738</v>
      </c>
      <c r="D100" s="59" t="s">
        <v>133</v>
      </c>
    </row>
    <row r="101" spans="1:6" hidden="1" x14ac:dyDescent="0.25">
      <c r="A101" s="61" t="s">
        <v>171</v>
      </c>
      <c r="B101" s="59" t="s">
        <v>172</v>
      </c>
      <c r="C101" s="69">
        <f>1/(fs*1000)</f>
        <v>1.0000000000000001E-5</v>
      </c>
      <c r="E101" s="59" t="s">
        <v>20</v>
      </c>
    </row>
    <row r="102" spans="1:6" ht="18.75" x14ac:dyDescent="0.35">
      <c r="A102" s="61" t="s">
        <v>170</v>
      </c>
      <c r="B102" s="59" t="s">
        <v>169</v>
      </c>
      <c r="C102" s="70">
        <f>(C101-C100*0.000000001)/C101</f>
        <v>0.9802703872328683</v>
      </c>
    </row>
    <row r="103" spans="1:6" ht="18.75" x14ac:dyDescent="0.35">
      <c r="A103" s="59" t="s">
        <v>103</v>
      </c>
      <c r="B103" s="59" t="s">
        <v>102</v>
      </c>
      <c r="C103" s="64">
        <f>((2*dclamp*vrdson)+(_taa1*(VOUT+vrdson)))/dclamp</f>
        <v>259.50815769354512</v>
      </c>
      <c r="D103" s="59" t="s">
        <v>18</v>
      </c>
    </row>
    <row r="104" spans="1:6" ht="18.75" x14ac:dyDescent="0.35">
      <c r="A104" s="59" t="s">
        <v>105</v>
      </c>
      <c r="B104" s="59" t="s">
        <v>104</v>
      </c>
      <c r="C104" s="67">
        <f>((2*pout*(1/60))/(vin^2-C103^2))*1000000</f>
        <v>157.31522794452661</v>
      </c>
      <c r="D104" s="59" t="s">
        <v>93</v>
      </c>
      <c r="E104" s="95" t="str">
        <f>IF(VINMIN&lt;200,"Non-PFC Cin Capacitance Cannot Be Calculated, Use Other Method","")</f>
        <v/>
      </c>
    </row>
    <row r="105" spans="1:6" ht="18.75" x14ac:dyDescent="0.35">
      <c r="A105" s="59" t="s">
        <v>106</v>
      </c>
      <c r="B105" s="59" t="s">
        <v>107</v>
      </c>
      <c r="C105" s="64">
        <f>(    (iprms1^2)    -(        ( pout/(VINMIN*Eff)       )   ^2)           )^0.5</f>
        <v>1.2170513475431375</v>
      </c>
      <c r="D105" s="59" t="s">
        <v>35</v>
      </c>
    </row>
    <row r="106" spans="1:6" ht="18.75" x14ac:dyDescent="0.35">
      <c r="A106" s="59" t="s">
        <v>177</v>
      </c>
      <c r="B106" s="59" t="s">
        <v>104</v>
      </c>
      <c r="C106" s="4">
        <v>220</v>
      </c>
      <c r="D106" s="59" t="s">
        <v>93</v>
      </c>
    </row>
    <row r="107" spans="1:6" ht="18.75" x14ac:dyDescent="0.35">
      <c r="A107" s="59" t="s">
        <v>270</v>
      </c>
      <c r="B107" s="59" t="s">
        <v>108</v>
      </c>
      <c r="C107" s="4">
        <v>150</v>
      </c>
      <c r="D107" s="59" t="s">
        <v>206</v>
      </c>
    </row>
    <row r="108" spans="1:6" ht="18.75" x14ac:dyDescent="0.35">
      <c r="A108" s="59" t="s">
        <v>271</v>
      </c>
      <c r="B108" s="59" t="s">
        <v>109</v>
      </c>
      <c r="C108" s="64">
        <f>(C105^2)*(C107*0.001)</f>
        <v>0.22218209738348502</v>
      </c>
      <c r="D108" s="59" t="s">
        <v>19</v>
      </c>
    </row>
    <row r="109" spans="1:6" ht="54.75" customHeight="1" x14ac:dyDescent="0.35">
      <c r="A109" s="61" t="s">
        <v>287</v>
      </c>
      <c r="B109" s="59" t="s">
        <v>25</v>
      </c>
      <c r="C109" s="64">
        <f>C97-C108</f>
        <v>20.374549226061323</v>
      </c>
      <c r="D109" s="59" t="s">
        <v>19</v>
      </c>
      <c r="E109" s="95" t="str">
        <f>IF(C109&lt;0,"PBudget Cannot be Made with Selected Components","")</f>
        <v/>
      </c>
    </row>
    <row r="110" spans="1:6" ht="18.75" x14ac:dyDescent="0.35">
      <c r="A110" s="91" t="s">
        <v>295</v>
      </c>
      <c r="B110" s="91"/>
      <c r="C110" s="94" t="s">
        <v>20</v>
      </c>
      <c r="D110" s="91" t="s">
        <v>20</v>
      </c>
      <c r="E110" s="91" t="s">
        <v>20</v>
      </c>
      <c r="F110" s="91"/>
    </row>
    <row r="111" spans="1:6" ht="18.75" x14ac:dyDescent="0.35">
      <c r="A111" s="59" t="s">
        <v>138</v>
      </c>
      <c r="B111" s="59" t="s">
        <v>137</v>
      </c>
      <c r="C111" s="4">
        <v>100</v>
      </c>
    </row>
    <row r="112" spans="1:6" ht="18.75" x14ac:dyDescent="0.35">
      <c r="A112" s="59" t="s">
        <v>159</v>
      </c>
      <c r="B112" s="59" t="s">
        <v>158</v>
      </c>
      <c r="C112" s="5">
        <f>((pout/(VOUT)+(dilout/2))/(Eff*_taa1))+((VINMIN*dmax)/(lmag2*fs))</f>
        <v>2.1652312681344941</v>
      </c>
      <c r="D112" s="59" t="s">
        <v>35</v>
      </c>
      <c r="E112" s="59" t="s">
        <v>20</v>
      </c>
    </row>
    <row r="113" spans="1:6" ht="18.75" x14ac:dyDescent="0.35">
      <c r="A113" s="59" t="s">
        <v>156</v>
      </c>
      <c r="B113" s="59" t="s">
        <v>155</v>
      </c>
      <c r="C113" s="64">
        <f>(2-0.2)/((_ipp1/_ta2)*1.1)</f>
        <v>75.574543026689412</v>
      </c>
      <c r="D113" s="59" t="s">
        <v>157</v>
      </c>
    </row>
    <row r="114" spans="1:6" ht="18.75" x14ac:dyDescent="0.35">
      <c r="A114" s="59" t="s">
        <v>297</v>
      </c>
      <c r="B114" s="59" t="s">
        <v>155</v>
      </c>
      <c r="C114" s="59">
        <f>(IF((10^(LOG(C113)-INT(LOG(C113)))*100)-VLOOKUP((10^(LOG(C113)-INT(LOG(C113)))*100),E48_s:E48_f,1)&lt;VLOOKUP((10^(LOG(C113)-INT(LOG(C113)))*100),E48_s:E48_f,2)-(10^(LOG(C113)-INT(LOG(C113)))*100),VLOOKUP((10^(LOG(C113)-INT(LOG(C113)))*100),E48_s:E48_f,1),VLOOKUP((10^(LOG(C113)-INT(LOG(C113)))*100),E48_s:E48_f,2)))*10^INT(LOG(C113))/100</f>
        <v>75</v>
      </c>
      <c r="D114" s="59" t="s">
        <v>157</v>
      </c>
    </row>
    <row r="115" spans="1:6" ht="18.75" x14ac:dyDescent="0.35">
      <c r="A115" s="59" t="s">
        <v>160</v>
      </c>
      <c r="B115" s="59" t="s">
        <v>155</v>
      </c>
      <c r="C115" s="4">
        <v>75</v>
      </c>
      <c r="D115" s="59" t="s">
        <v>157</v>
      </c>
      <c r="E115" s="59" t="s">
        <v>20</v>
      </c>
    </row>
    <row r="116" spans="1:6" ht="18.75" x14ac:dyDescent="0.35">
      <c r="A116" s="59" t="s">
        <v>161</v>
      </c>
      <c r="B116" s="59" t="s">
        <v>162</v>
      </c>
      <c r="C116" s="65">
        <f>((iprms1/_ta2)^2)*C115</f>
        <v>2.1243828281170773E-2</v>
      </c>
      <c r="D116" s="59" t="s">
        <v>19</v>
      </c>
    </row>
    <row r="117" spans="1:6" ht="18.75" x14ac:dyDescent="0.35">
      <c r="A117" s="59" t="s">
        <v>164</v>
      </c>
      <c r="B117" s="59" t="s">
        <v>163</v>
      </c>
      <c r="C117" s="64">
        <f>(2*(dclamp))/(1-dclamp)</f>
        <v>99.370463962266655</v>
      </c>
      <c r="D117" s="59" t="s">
        <v>18</v>
      </c>
    </row>
    <row r="118" spans="1:6" ht="18.75" x14ac:dyDescent="0.35">
      <c r="A118" s="59" t="s">
        <v>178</v>
      </c>
      <c r="B118" s="59" t="s">
        <v>179</v>
      </c>
      <c r="C118" s="65">
        <f>(pout*0.6)/(VINMIN*Eff*_ta2)</f>
        <v>6.9747166521360072E-3</v>
      </c>
      <c r="D118" s="59" t="s">
        <v>19</v>
      </c>
    </row>
    <row r="119" spans="1:6" ht="18.75" x14ac:dyDescent="0.35">
      <c r="A119" s="91" t="s">
        <v>288</v>
      </c>
      <c r="B119" s="63"/>
      <c r="C119" s="63"/>
      <c r="D119" s="63"/>
      <c r="E119" s="91" t="s">
        <v>20</v>
      </c>
      <c r="F119" s="91"/>
    </row>
    <row r="120" spans="1:6" x14ac:dyDescent="0.25">
      <c r="A120" s="59" t="s">
        <v>272</v>
      </c>
      <c r="B120" s="59" t="s">
        <v>180</v>
      </c>
      <c r="C120" s="4">
        <v>2.5</v>
      </c>
      <c r="D120" s="59" t="s">
        <v>18</v>
      </c>
      <c r="E120" s="95" t="str">
        <f>IF(_va1&gt;VOUT,"V1 Needs to be &lt; VOUT",IF(_va1=VOUT,"V1 Needs to be &lt; VOUT",""))</f>
        <v/>
      </c>
      <c r="F120" s="95"/>
    </row>
    <row r="121" spans="1:6" ht="18.75" x14ac:dyDescent="0.35">
      <c r="A121" s="59" t="s">
        <v>182</v>
      </c>
      <c r="B121" s="59" t="s">
        <v>181</v>
      </c>
      <c r="C121" s="4">
        <v>2.37</v>
      </c>
      <c r="D121" s="59" t="s">
        <v>209</v>
      </c>
      <c r="E121" s="95" t="str">
        <f>IF(_va1&lt;0.5,"V1 Needs to be Greater than 0.5","")</f>
        <v/>
      </c>
    </row>
    <row r="122" spans="1:6" ht="18.75" x14ac:dyDescent="0.35">
      <c r="A122" s="59" t="s">
        <v>184</v>
      </c>
      <c r="B122" s="59" t="s">
        <v>183</v>
      </c>
      <c r="C122" s="59">
        <f>C121*(5-C120)/C120</f>
        <v>2.37</v>
      </c>
      <c r="D122" s="59" t="s">
        <v>209</v>
      </c>
    </row>
    <row r="123" spans="1:6" ht="18.75" x14ac:dyDescent="0.35">
      <c r="A123" s="59" t="s">
        <v>297</v>
      </c>
      <c r="B123" s="59" t="s">
        <v>183</v>
      </c>
      <c r="C123" s="59">
        <f>(IF((10^(LOG(C122)-INT(LOG(C122)))*100)-VLOOKUP((10^(LOG(C122)-INT(LOG(C122)))*100),E48_s:E48_f,1)&lt;VLOOKUP((10^(LOG(C122)-INT(LOG(C122)))*100),E48_s:E48_f,2)-(10^(LOG(C122)-INT(LOG(C122)))*100),VLOOKUP((10^(LOG(C122)-INT(LOG(C122)))*100),E48_s:E48_f,1),VLOOKUP((10^(LOG(C122)-INT(LOG(C122)))*100),E48_s:E48_f,2)))*10^INT(LOG(C122))/100</f>
        <v>2.37</v>
      </c>
      <c r="D123" s="59" t="s">
        <v>209</v>
      </c>
    </row>
    <row r="124" spans="1:6" ht="18.75" x14ac:dyDescent="0.35">
      <c r="A124" s="59" t="s">
        <v>325</v>
      </c>
      <c r="B124" s="59" t="s">
        <v>183</v>
      </c>
      <c r="C124" s="4">
        <v>2.37</v>
      </c>
      <c r="D124" s="59" t="s">
        <v>209</v>
      </c>
    </row>
    <row r="125" spans="1:6" ht="18.75" x14ac:dyDescent="0.35">
      <c r="A125" s="59" t="s">
        <v>182</v>
      </c>
      <c r="B125" s="59" t="s">
        <v>185</v>
      </c>
      <c r="C125" s="4">
        <v>1</v>
      </c>
      <c r="D125" s="59" t="s">
        <v>209</v>
      </c>
    </row>
    <row r="126" spans="1:6" ht="18.75" x14ac:dyDescent="0.35">
      <c r="A126" s="59" t="s">
        <v>184</v>
      </c>
      <c r="B126" s="59" t="s">
        <v>186</v>
      </c>
      <c r="C126" s="65">
        <f>C125*(VOUT-_va1)/_va1</f>
        <v>15.8</v>
      </c>
      <c r="D126" s="59" t="s">
        <v>209</v>
      </c>
    </row>
    <row r="127" spans="1:6" ht="18.75" x14ac:dyDescent="0.35">
      <c r="A127" s="59" t="s">
        <v>297</v>
      </c>
      <c r="B127" s="59" t="s">
        <v>186</v>
      </c>
      <c r="C127" s="59">
        <f>(IF((10^(LOG(C126)-INT(LOG(C126)))*100)-VLOOKUP((10^(LOG(C126)-INT(LOG(C126)))*100),E48_s:E48_f,1)&lt;VLOOKUP((10^(LOG(C126)-INT(LOG(C126)))*100),E48_s:E48_f,2)-(10^(LOG(C126)-INT(LOG(C126)))*100),VLOOKUP((10^(LOG(C126)-INT(LOG(C126)))*100),E48_s:E48_f,1),VLOOKUP((10^(LOG(C126)-INT(LOG(C126)))*100),E48_s:E48_f,2)))*10^INT(LOG(C126))/100</f>
        <v>16.2</v>
      </c>
      <c r="D127" s="59" t="s">
        <v>209</v>
      </c>
    </row>
    <row r="128" spans="1:6" ht="18.75" x14ac:dyDescent="0.35">
      <c r="A128" s="59" t="s">
        <v>325</v>
      </c>
      <c r="B128" s="59" t="s">
        <v>186</v>
      </c>
      <c r="C128" s="4">
        <v>16.2</v>
      </c>
      <c r="D128" s="59" t="s">
        <v>209</v>
      </c>
    </row>
    <row r="129" spans="1:5" ht="18.75" x14ac:dyDescent="0.35">
      <c r="A129" s="59" t="s">
        <v>281</v>
      </c>
      <c r="B129" s="59" t="s">
        <v>282</v>
      </c>
      <c r="C129" s="59">
        <f>fs/4</f>
        <v>25</v>
      </c>
      <c r="D129" s="59" t="s">
        <v>21</v>
      </c>
    </row>
    <row r="130" spans="1:5" ht="18.75" x14ac:dyDescent="0.35">
      <c r="A130" s="59" t="s">
        <v>188</v>
      </c>
      <c r="B130" s="59" t="s">
        <v>187</v>
      </c>
      <c r="C130" s="59">
        <f>fs/40</f>
        <v>2.5</v>
      </c>
      <c r="D130" s="59" t="s">
        <v>21</v>
      </c>
    </row>
    <row r="131" spans="1:5" ht="18.75" x14ac:dyDescent="0.35">
      <c r="A131" s="59" t="s">
        <v>273</v>
      </c>
      <c r="B131" s="59" t="s">
        <v>189</v>
      </c>
      <c r="C131" s="59">
        <f>(VOUT^2)/(pout*0.1)</f>
        <v>44.1</v>
      </c>
      <c r="D131" s="59" t="s">
        <v>157</v>
      </c>
    </row>
    <row r="132" spans="1:5" hidden="1" x14ac:dyDescent="0.25">
      <c r="A132" s="58" t="s">
        <v>190</v>
      </c>
      <c r="B132" s="58" t="s">
        <v>191</v>
      </c>
      <c r="C132" s="58">
        <f>_ta1*_ta2*(rload/RS)</f>
        <v>359.4445390070922</v>
      </c>
      <c r="D132" s="59" t="s">
        <v>20</v>
      </c>
    </row>
    <row r="133" spans="1:5" hidden="1" x14ac:dyDescent="0.25">
      <c r="A133" s="86" t="s">
        <v>198</v>
      </c>
      <c r="B133" s="58"/>
      <c r="C133" s="58" t="str">
        <f>(COMPLEX(1,2*PI()*fc*1000*esrcout*0.001*cout*0.000001))</f>
        <v>1+0.486946861306418i</v>
      </c>
    </row>
    <row r="134" spans="1:5" hidden="1" x14ac:dyDescent="0.25">
      <c r="A134" s="58" t="s">
        <v>192</v>
      </c>
      <c r="B134" s="58" t="s">
        <v>193</v>
      </c>
      <c r="C134" s="58" t="str">
        <f>IMDIV((COMPLEX(1,2*PI()*fc*1000*esrcout*0.001*cout*0.000001)),(COMPLEX(1,2*PI()*fc*1000*rload*cout*0.000001)))</f>
        <v>0.000234547442038652-0.000481081220580817i</v>
      </c>
    </row>
    <row r="135" spans="1:5" hidden="1" x14ac:dyDescent="0.25">
      <c r="A135" s="58" t="s">
        <v>194</v>
      </c>
      <c r="B135" s="58" t="s">
        <v>194</v>
      </c>
      <c r="C135" s="58" t="str">
        <f>IMDIV(1,(COMPLEX((1-(fc/fpp)^2),(fc/fpp))))</f>
        <v>0.999899000101-0.100999899000101i</v>
      </c>
    </row>
    <row r="136" spans="1:5" hidden="1" x14ac:dyDescent="0.25">
      <c r="A136" s="58" t="s">
        <v>195</v>
      </c>
      <c r="C136" s="58" t="str">
        <f>IMPRODUCT(n1divd1,d2a)</f>
        <v>0.000185934598081188-0.000504721899382763i</v>
      </c>
      <c r="E136" s="58"/>
    </row>
    <row r="137" spans="1:5" hidden="1" x14ac:dyDescent="0.25">
      <c r="A137" s="58" t="s">
        <v>196</v>
      </c>
      <c r="C137" s="58" t="str">
        <f>IMPRODUCT(constant,C136)</f>
        <v>0.0668331758927616-0.181419530450421i</v>
      </c>
    </row>
    <row r="138" spans="1:5" hidden="1" x14ac:dyDescent="0.25">
      <c r="A138" s="58" t="s">
        <v>197</v>
      </c>
      <c r="B138" s="58" t="s">
        <v>199</v>
      </c>
      <c r="C138" s="58">
        <f>IMABS(C137)</f>
        <v>0.19333835477929373</v>
      </c>
    </row>
    <row r="139" spans="1:5" ht="18.75" x14ac:dyDescent="0.35">
      <c r="A139" s="59" t="s">
        <v>201</v>
      </c>
      <c r="B139" s="59" t="s">
        <v>200</v>
      </c>
      <c r="C139" s="64">
        <f>RII/C138</f>
        <v>83.790927146831166</v>
      </c>
      <c r="D139" s="59" t="s">
        <v>209</v>
      </c>
    </row>
    <row r="140" spans="1:5" ht="18.75" x14ac:dyDescent="0.35">
      <c r="A140" s="59" t="s">
        <v>297</v>
      </c>
      <c r="B140" s="59" t="s">
        <v>200</v>
      </c>
      <c r="C140" s="59">
        <f>(IF((10^(LOG(C139)-INT(LOG(C139)))*100)-VLOOKUP((10^(LOG(C139)-INT(LOG(C139)))*100),E48_s:E48_f,1)&lt;VLOOKUP((10^(LOG(C139)-INT(LOG(C139)))*100),E48_s:E48_f,2)-(10^(LOG(C139)-INT(LOG(C139)))*100),VLOOKUP((10^(LOG(C139)-INT(LOG(C139)))*100),E48_s:E48_f,1),VLOOKUP((10^(LOG(C139)-INT(LOG(C139)))*100),E48_s:E48_f,2)))*10^INT(LOG(C139))/100</f>
        <v>82.5</v>
      </c>
      <c r="D140" s="59" t="s">
        <v>209</v>
      </c>
    </row>
    <row r="141" spans="1:5" ht="18.75" x14ac:dyDescent="0.35">
      <c r="A141" s="59" t="s">
        <v>325</v>
      </c>
      <c r="B141" s="59" t="s">
        <v>200</v>
      </c>
      <c r="C141" s="4">
        <v>82.5</v>
      </c>
      <c r="D141" s="59" t="s">
        <v>209</v>
      </c>
    </row>
    <row r="142" spans="1:5" ht="18.75" x14ac:dyDescent="0.35">
      <c r="A142" s="59" t="s">
        <v>205</v>
      </c>
      <c r="B142" s="59" t="s">
        <v>202</v>
      </c>
      <c r="C142" s="64">
        <f>(1/(2*PI()*C141*(fc/5)))*10^3</f>
        <v>3.8583016507126144</v>
      </c>
      <c r="D142" s="59" t="s">
        <v>203</v>
      </c>
      <c r="E142" s="64"/>
    </row>
    <row r="143" spans="1:5" ht="18" customHeight="1" x14ac:dyDescent="0.25">
      <c r="A143" s="59" t="s">
        <v>296</v>
      </c>
      <c r="B143" s="59" t="s">
        <v>211</v>
      </c>
      <c r="C143" s="71">
        <f>IF(C142&lt;10000,C144*10^INT(LOG(C142)),C145*10^INT(LOG(C142)))</f>
        <v>3.9</v>
      </c>
      <c r="D143" s="59" t="s">
        <v>203</v>
      </c>
    </row>
    <row r="144" spans="1:5" ht="18" hidden="1" customHeight="1" x14ac:dyDescent="0.25">
      <c r="A144" s="58" t="s">
        <v>212</v>
      </c>
      <c r="C144" s="72">
        <f>IF((10^(LOG(C142)-INT(LOG(C142))))-VLOOKUP((10^(LOG(C142)-INT(LOG(C142)))),c_s1:C_f1,1)&lt;VLOOKUP((10^(LOG(C142)-INT(LOG(C142)))),c_s1:C_f1,2)-(10^(LOG(C142)-INT(LOG(C142)))),VLOOKUP((10^(LOG(C142)-INT(LOG(C142)))),c_s1:C_f1,1),VLOOKUP((10^(LOG(C142)-INT(LOG(C142)))),c_s1:C_f1,2))</f>
        <v>3.9</v>
      </c>
    </row>
    <row r="145" spans="1:5" ht="18" hidden="1" customHeight="1" x14ac:dyDescent="0.25">
      <c r="A145" s="58" t="s">
        <v>213</v>
      </c>
      <c r="C145" s="72">
        <f>IF((10^(LOG(C142)-INT(LOG(C142))))-VLOOKUP((10^(LOG(C142)-INT(LOG(C142)))),C_s2:C_f2,1)&lt;VLOOKUP((10^(LOG(C142)-INT(LOG(C142)))),C_s2:C_f2,2)-(10^(LOG(C142)-INT(LOG(C142)))),VLOOKUP((10^(LOG(C142)-INT(LOG(C142)))),C_s2:C_f2,1),VLOOKUP((10^(LOG(C142)-INT(LOG(C142)))),C_s2:C_f2,2))</f>
        <v>3.3</v>
      </c>
    </row>
    <row r="146" spans="1:5" ht="18.75" x14ac:dyDescent="0.35">
      <c r="A146" s="59" t="s">
        <v>327</v>
      </c>
      <c r="B146" s="59" t="s">
        <v>202</v>
      </c>
      <c r="C146" s="4">
        <v>3.9</v>
      </c>
      <c r="D146" s="59" t="s">
        <v>203</v>
      </c>
    </row>
    <row r="147" spans="1:5" ht="18.75" x14ac:dyDescent="0.35">
      <c r="A147" s="73" t="s">
        <v>204</v>
      </c>
      <c r="B147" s="73" t="s">
        <v>210</v>
      </c>
      <c r="C147" s="74">
        <f>1000000/(2*PI()*rf*fc*2)</f>
        <v>385.83016507126149</v>
      </c>
      <c r="D147" s="59" t="s">
        <v>63</v>
      </c>
      <c r="E147" s="74" t="s">
        <v>20</v>
      </c>
    </row>
    <row r="148" spans="1:5" ht="18.75" x14ac:dyDescent="0.35">
      <c r="A148" s="59" t="s">
        <v>296</v>
      </c>
      <c r="B148" s="73" t="s">
        <v>210</v>
      </c>
      <c r="C148" s="71">
        <f>IF(C147&lt;10000,C149*10^INT(LOG(C147)),C150*10^INT(LOG(C147)))</f>
        <v>390</v>
      </c>
      <c r="D148" s="59" t="s">
        <v>63</v>
      </c>
      <c r="E148" s="71"/>
    </row>
    <row r="149" spans="1:5" hidden="1" x14ac:dyDescent="0.25">
      <c r="A149" s="58" t="s">
        <v>212</v>
      </c>
      <c r="B149" s="75"/>
      <c r="C149" s="72">
        <f>IF((10^(LOG(C147)-INT(LOG(C147))))-VLOOKUP((10^(LOG(C147)-INT(LOG(C147)))),c_s1:C_f1,1)&lt;VLOOKUP((10^(LOG(C147)-INT(LOG(C147)))),c_s1:C_f1,2)-(10^(LOG(C147)-INT(LOG(C147)))),VLOOKUP((10^(LOG(C147)-INT(LOG(C147)))),c_s1:C_f1,1),VLOOKUP((10^(LOG(C147)-INT(LOG(C147)))),c_s1:C_f1,2))</f>
        <v>3.9</v>
      </c>
    </row>
    <row r="150" spans="1:5" hidden="1" x14ac:dyDescent="0.25">
      <c r="A150" s="58" t="s">
        <v>213</v>
      </c>
      <c r="B150" s="75"/>
      <c r="C150" s="72">
        <f>IF((10^(LOG(C147)-INT(LOG(C147))))-VLOOKUP((10^(LOG(C147)-INT(LOG(C147)))),C_s2:C_f2,1)&lt;VLOOKUP((10^(LOG(C147)-INT(LOG(C147)))),C_s2:C_f2,2)-(10^(LOG(C147)-INT(LOG(C147)))),VLOOKUP((10^(LOG(C147)-INT(LOG(C147)))),C_s2:C_f2,1),VLOOKUP((10^(LOG(C147)-INT(LOG(C147)))),C_s2:C_f2,2))</f>
        <v>3.3</v>
      </c>
    </row>
    <row r="151" spans="1:5" ht="18.75" x14ac:dyDescent="0.35">
      <c r="A151" s="59" t="s">
        <v>327</v>
      </c>
      <c r="B151" s="59" t="s">
        <v>210</v>
      </c>
      <c r="C151" s="4">
        <v>390</v>
      </c>
      <c r="D151" s="59" t="s">
        <v>63</v>
      </c>
    </row>
    <row r="152" spans="1:5" x14ac:dyDescent="0.25">
      <c r="C152" s="4"/>
    </row>
    <row r="153" spans="1:5" x14ac:dyDescent="0.25">
      <c r="C153" s="4"/>
    </row>
    <row r="154" spans="1:5" x14ac:dyDescent="0.25">
      <c r="C154" s="4"/>
    </row>
    <row r="155" spans="1:5" x14ac:dyDescent="0.25">
      <c r="C155" s="4"/>
    </row>
    <row r="156" spans="1:5" x14ac:dyDescent="0.25">
      <c r="C156" s="4"/>
    </row>
    <row r="157" spans="1:5" x14ac:dyDescent="0.25">
      <c r="C157" s="4"/>
    </row>
    <row r="158" spans="1:5" x14ac:dyDescent="0.25">
      <c r="C158" s="4"/>
    </row>
    <row r="159" spans="1:5" x14ac:dyDescent="0.25">
      <c r="C159" s="4"/>
    </row>
    <row r="160" spans="1:5" x14ac:dyDescent="0.25">
      <c r="C160" s="4"/>
    </row>
    <row r="161" spans="1:6" x14ac:dyDescent="0.25">
      <c r="C161" s="4"/>
    </row>
    <row r="162" spans="1:6" x14ac:dyDescent="0.25">
      <c r="C162" s="4"/>
    </row>
    <row r="163" spans="1:6" x14ac:dyDescent="0.25">
      <c r="C163" s="4"/>
    </row>
    <row r="164" spans="1:6" x14ac:dyDescent="0.25">
      <c r="C164" s="4"/>
    </row>
    <row r="165" spans="1:6" x14ac:dyDescent="0.25">
      <c r="C165" s="4"/>
    </row>
    <row r="166" spans="1:6" x14ac:dyDescent="0.25">
      <c r="C166" s="4"/>
    </row>
    <row r="167" spans="1:6" x14ac:dyDescent="0.25">
      <c r="C167" s="4"/>
    </row>
    <row r="168" spans="1:6" x14ac:dyDescent="0.25">
      <c r="C168" s="4"/>
    </row>
    <row r="169" spans="1:6" x14ac:dyDescent="0.25">
      <c r="C169" s="4"/>
    </row>
    <row r="170" spans="1:6" x14ac:dyDescent="0.25">
      <c r="C170" s="4"/>
    </row>
    <row r="171" spans="1:6" x14ac:dyDescent="0.25">
      <c r="C171" s="4"/>
    </row>
    <row r="172" spans="1:6" x14ac:dyDescent="0.25">
      <c r="C172" s="4"/>
    </row>
    <row r="173" spans="1:6" ht="18.75" x14ac:dyDescent="0.35">
      <c r="A173" s="91" t="s">
        <v>289</v>
      </c>
      <c r="B173" s="63"/>
      <c r="C173" s="63"/>
      <c r="D173" s="63"/>
      <c r="E173" s="91" t="s">
        <v>20</v>
      </c>
      <c r="F173" s="91"/>
    </row>
    <row r="174" spans="1:6" ht="18.75" x14ac:dyDescent="0.35">
      <c r="A174" s="73" t="s">
        <v>215</v>
      </c>
      <c r="B174" s="73" t="s">
        <v>214</v>
      </c>
      <c r="C174" s="4">
        <v>15</v>
      </c>
      <c r="D174" s="59" t="s">
        <v>216</v>
      </c>
    </row>
    <row r="175" spans="1:6" ht="18.75" x14ac:dyDescent="0.35">
      <c r="A175" s="73" t="s">
        <v>274</v>
      </c>
      <c r="B175" s="73" t="s">
        <v>217</v>
      </c>
      <c r="C175" s="74">
        <f>(C174)*(25)/(_va1+0.55)</f>
        <v>122.95081967213116</v>
      </c>
      <c r="D175" s="59" t="s">
        <v>203</v>
      </c>
    </row>
    <row r="176" spans="1:6" ht="18.75" x14ac:dyDescent="0.35">
      <c r="A176" s="59" t="s">
        <v>296</v>
      </c>
      <c r="B176" s="73" t="s">
        <v>217</v>
      </c>
      <c r="C176" s="71">
        <f>IF(C175&lt;10000,C177*10^INT(LOG(C175)),C178*10^INT(LOG(C175)))</f>
        <v>120</v>
      </c>
      <c r="D176" s="59" t="s">
        <v>203</v>
      </c>
    </row>
    <row r="177" spans="1:6" hidden="1" x14ac:dyDescent="0.25">
      <c r="A177" s="58" t="s">
        <v>212</v>
      </c>
      <c r="B177" s="75"/>
      <c r="C177" s="72">
        <f>IF((10^(LOG(C175)-INT(LOG(C175))))-VLOOKUP((10^(LOG(C175)-INT(LOG(C175)))),c_s1:C_f1,1)&lt;VLOOKUP((10^(LOG(C175)-INT(LOG(C175)))),c_s1:C_f1,2)-(10^(LOG(C175)-INT(LOG(C175)))),VLOOKUP((10^(LOG(C175)-INT(LOG(C175)))),c_s1:C_f1,1),VLOOKUP((10^(LOG(C175)-INT(LOG(C175)))),c_s1:C_f1,2))</f>
        <v>1.2</v>
      </c>
    </row>
    <row r="178" spans="1:6" hidden="1" x14ac:dyDescent="0.25">
      <c r="A178" s="58" t="s">
        <v>218</v>
      </c>
      <c r="B178" s="75"/>
      <c r="C178" s="72">
        <f>IF((10^(LOG(C175)-INT(LOG(C175))))-VLOOKUP((10^(LOG(C175)-INT(LOG(C175)))),C_s2:C_f2,1)&lt;VLOOKUP((10^(LOG(C175)-INT(LOG(C175)))),C_s2:C_f2,2)-(10^(LOG(C175)-INT(LOG(C175)))),VLOOKUP((10^(LOG(C175)-INT(LOG(C175)))),C_s2:C_f2,1),VLOOKUP((10^(LOG(C175)-INT(LOG(C175)))),C_s2:C_f2,2))</f>
        <v>1</v>
      </c>
    </row>
    <row r="179" spans="1:6" ht="18.75" x14ac:dyDescent="0.35">
      <c r="A179" s="59" t="s">
        <v>327</v>
      </c>
      <c r="B179" s="59" t="s">
        <v>217</v>
      </c>
      <c r="C179" s="4">
        <v>120</v>
      </c>
      <c r="D179" s="59" t="s">
        <v>203</v>
      </c>
    </row>
    <row r="180" spans="1:6" ht="18.75" x14ac:dyDescent="0.35">
      <c r="A180" s="91" t="s">
        <v>315</v>
      </c>
      <c r="B180" s="63"/>
      <c r="C180" s="63"/>
      <c r="D180" s="63"/>
      <c r="E180" s="91" t="s">
        <v>20</v>
      </c>
      <c r="F180" s="91"/>
    </row>
    <row r="181" spans="1:6" ht="18.75" x14ac:dyDescent="0.35">
      <c r="A181" s="73" t="s">
        <v>275</v>
      </c>
      <c r="B181" s="73" t="s">
        <v>219</v>
      </c>
      <c r="C181" s="74">
        <f>tdelay</f>
        <v>197.29612767131738</v>
      </c>
      <c r="D181" s="59" t="s">
        <v>133</v>
      </c>
    </row>
    <row r="182" spans="1:6" ht="18.75" x14ac:dyDescent="0.35">
      <c r="A182" s="73" t="s">
        <v>314</v>
      </c>
      <c r="B182" s="73" t="s">
        <v>219</v>
      </c>
      <c r="C182" s="3">
        <v>200</v>
      </c>
      <c r="D182" s="59" t="s">
        <v>133</v>
      </c>
    </row>
    <row r="183" spans="1:6" ht="18.75" x14ac:dyDescent="0.35">
      <c r="A183" s="73" t="s">
        <v>309</v>
      </c>
      <c r="B183" s="73" t="s">
        <v>306</v>
      </c>
      <c r="C183" s="105">
        <v>8.25</v>
      </c>
      <c r="D183" s="59" t="s">
        <v>209</v>
      </c>
    </row>
    <row r="184" spans="1:6" ht="18.75" x14ac:dyDescent="0.35">
      <c r="A184" s="73" t="s">
        <v>308</v>
      </c>
      <c r="B184" s="73" t="s">
        <v>307</v>
      </c>
      <c r="C184" s="5">
        <f>IF(tabset&gt;155, 0.2, 1.8)</f>
        <v>0.2</v>
      </c>
      <c r="D184" s="59" t="s">
        <v>18</v>
      </c>
    </row>
    <row r="185" spans="1:6" ht="18.75" x14ac:dyDescent="0.35">
      <c r="A185" s="73" t="s">
        <v>310</v>
      </c>
      <c r="B185" s="73" t="s">
        <v>311</v>
      </c>
      <c r="C185" s="107">
        <f>C183*C184/(5-C184)</f>
        <v>0.34375000000000006</v>
      </c>
      <c r="D185" s="59" t="s">
        <v>209</v>
      </c>
    </row>
    <row r="186" spans="1:6" ht="18.75" x14ac:dyDescent="0.35">
      <c r="A186" s="59" t="s">
        <v>297</v>
      </c>
      <c r="B186" s="73" t="s">
        <v>311</v>
      </c>
      <c r="C186" s="59">
        <f>(IF((10^(LOG(C185)-INT(LOG(C185)))*100)-VLOOKUP((10^(LOG(C185)-INT(LOG(C185)))*100),E48_s:E48_f,1)&lt;VLOOKUP((10^(LOG(C185)-INT(LOG(C185)))*100),E48_s:E48_f,2)-(10^(LOG(C185)-INT(LOG(C185)))*100),VLOOKUP((10^(LOG(C185)-INT(LOG(C185)))*100),E48_s:E48_f,1),VLOOKUP((10^(LOG(C185)-INT(LOG(C185)))*100),E48_s:E48_f,2)))*10^INT(LOG(C185))/100</f>
        <v>0.34800000000000003</v>
      </c>
      <c r="D186" s="59" t="s">
        <v>209</v>
      </c>
    </row>
    <row r="187" spans="1:6" ht="18.75" x14ac:dyDescent="0.35">
      <c r="A187" s="73" t="s">
        <v>312</v>
      </c>
      <c r="B187" s="73" t="s">
        <v>311</v>
      </c>
      <c r="C187" s="108">
        <v>0.34799999999999998</v>
      </c>
      <c r="D187" s="59" t="s">
        <v>209</v>
      </c>
    </row>
    <row r="188" spans="1:6" ht="18.75" x14ac:dyDescent="0.35">
      <c r="A188" s="73" t="s">
        <v>313</v>
      </c>
      <c r="B188" s="73" t="s">
        <v>307</v>
      </c>
      <c r="C188" s="107">
        <f>5*C187/(C183+C187)</f>
        <v>0.2023726448011165</v>
      </c>
      <c r="D188" s="59" t="s">
        <v>18</v>
      </c>
    </row>
    <row r="189" spans="1:6" ht="18.75" x14ac:dyDescent="0.35">
      <c r="A189" s="59" t="s">
        <v>276</v>
      </c>
      <c r="B189" s="73" t="s">
        <v>220</v>
      </c>
      <c r="C189" s="5">
        <f>(tabset-5)*(0.15+(C188*1.46))/5</f>
        <v>17.373098394975571</v>
      </c>
      <c r="D189" s="59" t="s">
        <v>209</v>
      </c>
    </row>
    <row r="190" spans="1:6" ht="18.75" x14ac:dyDescent="0.35">
      <c r="A190" s="59" t="s">
        <v>297</v>
      </c>
      <c r="B190" s="73" t="s">
        <v>220</v>
      </c>
      <c r="C190" s="59">
        <f>(IF((10^(LOG(C189)-INT(LOG(C189)))*100)-VLOOKUP((10^(LOG(C189)-INT(LOG(C189)))*100),E48_s:E48_f,1)&lt;VLOOKUP((10^(LOG(C189)-INT(LOG(C189)))*100),E48_s:E48_f,2)-(10^(LOG(C189)-INT(LOG(C189)))*100),VLOOKUP((10^(LOG(C189)-INT(LOG(C189)))*100),E48_s:E48_f,1),VLOOKUP((10^(LOG(C189)-INT(LOG(C189)))*100),E48_s:E48_f,2)))*10^INT(LOG(C189))/100</f>
        <v>17.8</v>
      </c>
      <c r="D190" s="59" t="s">
        <v>209</v>
      </c>
    </row>
    <row r="191" spans="1:6" ht="18.75" x14ac:dyDescent="0.35">
      <c r="A191" s="59" t="s">
        <v>328</v>
      </c>
      <c r="B191" s="73" t="s">
        <v>220</v>
      </c>
      <c r="C191" s="4">
        <v>17.8</v>
      </c>
      <c r="D191" s="59" t="s">
        <v>209</v>
      </c>
    </row>
    <row r="192" spans="1:6" ht="18.75" x14ac:dyDescent="0.35">
      <c r="A192" s="91" t="s">
        <v>316</v>
      </c>
      <c r="B192" s="63"/>
      <c r="C192" s="63"/>
      <c r="D192" s="63"/>
      <c r="E192" s="91" t="s">
        <v>20</v>
      </c>
      <c r="F192" s="91"/>
    </row>
    <row r="193" spans="1:6" ht="18.75" x14ac:dyDescent="0.35">
      <c r="A193" s="59" t="s">
        <v>277</v>
      </c>
      <c r="B193" s="73" t="s">
        <v>222</v>
      </c>
      <c r="C193" s="74">
        <f>tdelay</f>
        <v>197.29612767131738</v>
      </c>
      <c r="D193" s="59" t="s">
        <v>133</v>
      </c>
    </row>
    <row r="194" spans="1:6" ht="18.75" x14ac:dyDescent="0.35">
      <c r="A194" s="73" t="s">
        <v>314</v>
      </c>
      <c r="B194" s="73" t="s">
        <v>222</v>
      </c>
      <c r="C194" s="3">
        <v>200</v>
      </c>
      <c r="D194" s="59" t="s">
        <v>133</v>
      </c>
    </row>
    <row r="195" spans="1:6" ht="18.75" x14ac:dyDescent="0.35">
      <c r="A195" s="59" t="s">
        <v>276</v>
      </c>
      <c r="B195" s="73" t="s">
        <v>221</v>
      </c>
      <c r="C195" s="5">
        <f>(tcdset-5)*(0.15+(vadel*1.46))/5</f>
        <v>17.373098394975571</v>
      </c>
      <c r="D195" s="59" t="s">
        <v>209</v>
      </c>
    </row>
    <row r="196" spans="1:6" ht="18.75" x14ac:dyDescent="0.35">
      <c r="A196" s="59" t="s">
        <v>297</v>
      </c>
      <c r="B196" s="73" t="s">
        <v>221</v>
      </c>
      <c r="C196" s="59">
        <f>(IF((10^(LOG(C195)-INT(LOG(C195)))*100)-VLOOKUP((10^(LOG(C195)-INT(LOG(C195)))*100),E48_s:E48_f,1)&lt;VLOOKUP((10^(LOG(C195)-INT(LOG(C195)))*100),E48_s:E48_f,2)-(10^(LOG(C195)-INT(LOG(C195)))*100),VLOOKUP((10^(LOG(C195)-INT(LOG(C195)))*100),E48_s:E48_f,1),VLOOKUP((10^(LOG(C195)-INT(LOG(C195)))*100),E48_s:E48_f,2)))*10^INT(LOG(C195))/100</f>
        <v>17.8</v>
      </c>
      <c r="D196" s="59" t="s">
        <v>209</v>
      </c>
    </row>
    <row r="197" spans="1:6" ht="18.75" x14ac:dyDescent="0.35">
      <c r="A197" s="59" t="s">
        <v>328</v>
      </c>
      <c r="B197" s="73" t="s">
        <v>221</v>
      </c>
      <c r="C197" s="4">
        <v>17.8</v>
      </c>
      <c r="D197" s="59" t="s">
        <v>209</v>
      </c>
    </row>
    <row r="198" spans="1:6" ht="18.75" x14ac:dyDescent="0.35">
      <c r="A198" s="91" t="s">
        <v>326</v>
      </c>
      <c r="B198" s="63"/>
      <c r="C198" s="63"/>
      <c r="D198" s="63"/>
      <c r="E198" s="91" t="s">
        <v>20</v>
      </c>
      <c r="F198" s="91"/>
    </row>
    <row r="199" spans="1:6" ht="18.75" x14ac:dyDescent="0.35">
      <c r="A199" s="59" t="s">
        <v>223</v>
      </c>
      <c r="B199" s="59" t="s">
        <v>323</v>
      </c>
      <c r="C199" s="59">
        <f>C182/2</f>
        <v>100</v>
      </c>
      <c r="D199" s="59" t="s">
        <v>133</v>
      </c>
    </row>
    <row r="200" spans="1:6" ht="18.75" x14ac:dyDescent="0.35">
      <c r="A200" s="59" t="s">
        <v>324</v>
      </c>
      <c r="B200" s="59" t="s">
        <v>323</v>
      </c>
      <c r="C200" s="4">
        <v>100</v>
      </c>
      <c r="D200" s="59" t="s">
        <v>133</v>
      </c>
    </row>
    <row r="201" spans="1:6" ht="18.75" x14ac:dyDescent="0.35">
      <c r="A201" s="73" t="s">
        <v>318</v>
      </c>
      <c r="B201" s="59" t="s">
        <v>317</v>
      </c>
      <c r="C201" s="4">
        <v>8.25</v>
      </c>
      <c r="D201" s="59" t="s">
        <v>209</v>
      </c>
    </row>
    <row r="202" spans="1:6" ht="18.75" x14ac:dyDescent="0.35">
      <c r="A202" s="73" t="s">
        <v>321</v>
      </c>
      <c r="B202" s="59" t="s">
        <v>322</v>
      </c>
      <c r="C202" s="55">
        <f>IF(tafset&lt;170, 0.2,1.7)</f>
        <v>0.2</v>
      </c>
      <c r="D202" s="59" t="s">
        <v>18</v>
      </c>
    </row>
    <row r="203" spans="1:6" ht="18.75" x14ac:dyDescent="0.35">
      <c r="A203" s="73" t="s">
        <v>319</v>
      </c>
      <c r="B203" s="59" t="s">
        <v>320</v>
      </c>
      <c r="C203" s="106">
        <f>C202*C201/(5-C202)</f>
        <v>0.34375000000000006</v>
      </c>
      <c r="D203" s="59" t="s">
        <v>209</v>
      </c>
    </row>
    <row r="204" spans="1:6" ht="18.75" x14ac:dyDescent="0.35">
      <c r="A204" s="59" t="s">
        <v>297</v>
      </c>
      <c r="B204" s="59" t="s">
        <v>320</v>
      </c>
      <c r="C204" s="59">
        <f>(IF((10^(LOG(C203)-INT(LOG(C203)))*100)-VLOOKUP((10^(LOG(C203)-INT(LOG(C203)))*100),E48_s:E48_f,1)&lt;VLOOKUP((10^(LOG(C203)-INT(LOG(C203)))*100),E48_s:E48_f,2)-(10^(LOG(C203)-INT(LOG(C203)))*100),VLOOKUP((10^(LOG(C203)-INT(LOG(C203)))*100),E48_s:E48_f,1),VLOOKUP((10^(LOG(C203)-INT(LOG(C203)))*100),E48_s:E48_f,2)))*10^INT(LOG(C203))/100</f>
        <v>0.34800000000000003</v>
      </c>
      <c r="D204" s="59" t="s">
        <v>209</v>
      </c>
    </row>
    <row r="205" spans="1:6" ht="18.75" x14ac:dyDescent="0.35">
      <c r="A205" s="59" t="s">
        <v>325</v>
      </c>
      <c r="B205" s="59" t="s">
        <v>320</v>
      </c>
      <c r="C205" s="4">
        <v>0.34799999999999998</v>
      </c>
      <c r="D205" s="59" t="s">
        <v>209</v>
      </c>
    </row>
    <row r="206" spans="1:6" ht="18.75" x14ac:dyDescent="0.35">
      <c r="A206" s="73" t="s">
        <v>321</v>
      </c>
      <c r="B206" s="59" t="s">
        <v>322</v>
      </c>
      <c r="C206" s="79">
        <f>5*C205/(C205+C201)</f>
        <v>0.2023726448011165</v>
      </c>
      <c r="D206" s="59" t="s">
        <v>18</v>
      </c>
    </row>
    <row r="207" spans="1:6" ht="18.75" x14ac:dyDescent="0.35">
      <c r="A207" s="59" t="s">
        <v>276</v>
      </c>
      <c r="B207" s="73" t="s">
        <v>224</v>
      </c>
      <c r="C207" s="5">
        <f>(tafset-4)*(2.65-(C206*1.32))/5</f>
        <v>45.751067690160504</v>
      </c>
      <c r="D207" s="59" t="s">
        <v>209</v>
      </c>
    </row>
    <row r="208" spans="1:6" ht="18.75" x14ac:dyDescent="0.35">
      <c r="A208" s="59" t="s">
        <v>297</v>
      </c>
      <c r="B208" s="73" t="s">
        <v>224</v>
      </c>
      <c r="C208" s="64">
        <f>(IF((10^(LOG(C207)-INT(LOG(C207)))*100)-VLOOKUP((10^(LOG(C207)-INT(LOG(C207)))*100),E48_s:E48_f,1)&lt;VLOOKUP((10^(LOG(C207)-INT(LOG(C207)))*100),E48_s:E48_f,2)-(10^(LOG(C207)-INT(LOG(C207)))*100),VLOOKUP((10^(LOG(C207)-INT(LOG(C207)))*100),E48_s:E48_f,1),VLOOKUP((10^(LOG(C207)-INT(LOG(C207)))*100),E48_s:E48_f,2)))*10^INT(LOG(C207))/100</f>
        <v>46.4</v>
      </c>
      <c r="D208" s="59" t="s">
        <v>209</v>
      </c>
    </row>
    <row r="209" spans="1:6" ht="18.75" x14ac:dyDescent="0.35">
      <c r="A209" s="59" t="s">
        <v>329</v>
      </c>
      <c r="B209" s="73" t="s">
        <v>224</v>
      </c>
      <c r="C209" s="2">
        <v>46.4</v>
      </c>
      <c r="D209" s="59" t="s">
        <v>209</v>
      </c>
    </row>
    <row r="210" spans="1:6" x14ac:dyDescent="0.25">
      <c r="A210" s="91" t="s">
        <v>225</v>
      </c>
      <c r="B210" s="77"/>
      <c r="C210" s="63"/>
      <c r="D210" s="63"/>
      <c r="E210" s="91" t="s">
        <v>20</v>
      </c>
      <c r="F210" s="91"/>
    </row>
    <row r="211" spans="1:6" ht="18.75" x14ac:dyDescent="0.35">
      <c r="A211" s="59" t="s">
        <v>226</v>
      </c>
      <c r="B211" s="59" t="s">
        <v>227</v>
      </c>
      <c r="C211" s="4">
        <v>100</v>
      </c>
      <c r="D211" s="59" t="s">
        <v>133</v>
      </c>
    </row>
    <row r="212" spans="1:6" ht="18.75" x14ac:dyDescent="0.35">
      <c r="A212" s="59" t="s">
        <v>229</v>
      </c>
      <c r="B212" s="59" t="s">
        <v>228</v>
      </c>
      <c r="C212" s="78">
        <f>(C211-15)/6.6</f>
        <v>12.878787878787879</v>
      </c>
      <c r="D212" s="59" t="s">
        <v>209</v>
      </c>
    </row>
    <row r="213" spans="1:6" ht="18.75" x14ac:dyDescent="0.35">
      <c r="A213" s="59" t="s">
        <v>297</v>
      </c>
      <c r="B213" s="59" t="s">
        <v>228</v>
      </c>
      <c r="C213" s="59">
        <f>(IF((10^(LOG(C212)-INT(LOG(C212)))*100)-VLOOKUP((10^(LOG(C212)-INT(LOG(C212)))*100),E48_s:E48_f,1)&lt;VLOOKUP((10^(LOG(C212)-INT(LOG(C212)))*100),E48_s:E48_f,2)-(10^(LOG(C212)-INT(LOG(C212)))*100),VLOOKUP((10^(LOG(C212)-INT(LOG(C212)))*100),E48_s:E48_f,1),VLOOKUP((10^(LOG(C212)-INT(LOG(C212)))*100),E48_s:E48_f,2)))*10^INT(LOG(C212))/100</f>
        <v>12.7</v>
      </c>
      <c r="D213" s="59" t="s">
        <v>209</v>
      </c>
    </row>
    <row r="214" spans="1:6" ht="18.75" x14ac:dyDescent="0.35">
      <c r="A214" s="59" t="s">
        <v>325</v>
      </c>
      <c r="B214" s="59" t="s">
        <v>228</v>
      </c>
      <c r="C214" s="4">
        <v>12.7</v>
      </c>
      <c r="D214" s="59" t="s">
        <v>209</v>
      </c>
    </row>
    <row r="215" spans="1:6" x14ac:dyDescent="0.25">
      <c r="A215" s="91" t="s">
        <v>230</v>
      </c>
      <c r="B215" s="77"/>
      <c r="C215" s="63"/>
      <c r="D215" s="63"/>
      <c r="E215" s="91" t="s">
        <v>20</v>
      </c>
      <c r="F215" s="91"/>
    </row>
    <row r="216" spans="1:6" ht="18.75" x14ac:dyDescent="0.35">
      <c r="A216" s="59" t="s">
        <v>231</v>
      </c>
      <c r="B216" s="59" t="s">
        <v>232</v>
      </c>
      <c r="C216" s="59">
        <f>(((2.5*10^3)/(fs/2))-1)*2.5</f>
        <v>122.5</v>
      </c>
      <c r="D216" s="59" t="s">
        <v>209</v>
      </c>
      <c r="E216" s="59" t="s">
        <v>20</v>
      </c>
    </row>
    <row r="217" spans="1:6" ht="18.75" x14ac:dyDescent="0.35">
      <c r="A217" s="59" t="s">
        <v>297</v>
      </c>
      <c r="B217" s="59" t="s">
        <v>232</v>
      </c>
      <c r="C217" s="59">
        <f>(IF((10^(LOG(C216)-INT(LOG(C216)))*100)-VLOOKUP((10^(LOG(C216)-INT(LOG(C216)))*100),E48_s:E48_f,1)&lt;VLOOKUP((10^(LOG(C216)-INT(LOG(C216)))*100),E48_s:E48_f,2)-(10^(LOG(C216)-INT(LOG(C216)))*100),VLOOKUP((10^(LOG(C216)-INT(LOG(C216)))*100),E48_s:E48_f,1),VLOOKUP((10^(LOG(C216)-INT(LOG(C216)))*100),E48_s:E48_f,2)))*10^INT(LOG(C216))/100</f>
        <v>121</v>
      </c>
      <c r="D217" s="59" t="s">
        <v>209</v>
      </c>
    </row>
    <row r="218" spans="1:6" ht="18.75" x14ac:dyDescent="0.35">
      <c r="A218" s="59" t="s">
        <v>325</v>
      </c>
      <c r="B218" s="59" t="s">
        <v>232</v>
      </c>
      <c r="C218" s="4">
        <v>121</v>
      </c>
      <c r="D218" s="59" t="s">
        <v>209</v>
      </c>
    </row>
    <row r="219" spans="1:6" x14ac:dyDescent="0.25">
      <c r="A219" s="91" t="s">
        <v>233</v>
      </c>
      <c r="B219" s="77"/>
      <c r="C219" s="63"/>
      <c r="D219" s="63"/>
      <c r="E219" s="91" t="s">
        <v>20</v>
      </c>
      <c r="F219" s="91"/>
    </row>
    <row r="220" spans="1:6" ht="18.75" x14ac:dyDescent="0.35">
      <c r="A220" s="59" t="s">
        <v>278</v>
      </c>
      <c r="B220" s="59" t="s">
        <v>45</v>
      </c>
      <c r="C220" s="79">
        <f>(vin*(1-dtyp))/(lmag2*fs)</f>
        <v>0.15089881869542887</v>
      </c>
      <c r="D220" s="59" t="s">
        <v>35</v>
      </c>
    </row>
    <row r="221" spans="1:6" ht="18.75" x14ac:dyDescent="0.35">
      <c r="A221" s="59" t="s">
        <v>337</v>
      </c>
      <c r="B221" s="59" t="s">
        <v>335</v>
      </c>
      <c r="C221" s="109">
        <f>fs*0.2*0.001</f>
        <v>0.02</v>
      </c>
      <c r="D221" s="59" t="s">
        <v>234</v>
      </c>
    </row>
    <row r="222" spans="1:6" ht="18.75" x14ac:dyDescent="0.35">
      <c r="A222" s="59" t="s">
        <v>338</v>
      </c>
      <c r="B222" s="59" t="s">
        <v>336</v>
      </c>
      <c r="C222" s="109">
        <f>((((dilout/(_taa1*2))-C220)*RS*(1-dtyp)*fs)/_ta2)*0.001</f>
        <v>2.0453191616128034E-4</v>
      </c>
      <c r="D222" s="59" t="s">
        <v>234</v>
      </c>
      <c r="E222" s="59" t="s">
        <v>20</v>
      </c>
    </row>
    <row r="223" spans="1:6" ht="18.75" x14ac:dyDescent="0.35">
      <c r="A223" s="59" t="s">
        <v>235</v>
      </c>
      <c r="B223" s="59" t="s">
        <v>236</v>
      </c>
      <c r="C223" s="110">
        <f>IF(Vslope1&gt;Vslope2, Vslope1, Vslope2)</f>
        <v>0.02</v>
      </c>
      <c r="D223" s="59" t="s">
        <v>234</v>
      </c>
      <c r="E223" s="59" t="s">
        <v>20</v>
      </c>
    </row>
    <row r="224" spans="1:6" ht="18.75" x14ac:dyDescent="0.35">
      <c r="A224" s="59" t="s">
        <v>237</v>
      </c>
      <c r="B224" s="59" t="s">
        <v>238</v>
      </c>
      <c r="C224" s="64">
        <f>2.5/(C223*0.5)</f>
        <v>250</v>
      </c>
      <c r="D224" s="59" t="s">
        <v>209</v>
      </c>
      <c r="E224" s="64"/>
    </row>
    <row r="225" spans="1:6" ht="18.75" x14ac:dyDescent="0.35">
      <c r="A225" s="59" t="s">
        <v>297</v>
      </c>
      <c r="B225" s="59" t="s">
        <v>238</v>
      </c>
      <c r="C225" s="97">
        <f>(IF((10^(LOG(C224)-INT(LOG(C224)))*100)-VLOOKUP((10^(LOG(C224)-INT(LOG(C224)))*100),E48_s:E48_f,1)&lt;VLOOKUP((10^(LOG(C224)-INT(LOG(C224)))*100),E48_s:E48_f,2)-(10^(LOG(C224)-INT(LOG(C224)))*100),VLOOKUP((10^(LOG(C224)-INT(LOG(C224)))*100),E48_s:E48_f,1),VLOOKUP((10^(LOG(C224)-INT(LOG(C224)))*100),E48_s:E48_f,2)))*10^INT(LOG(C224))/100</f>
        <v>249</v>
      </c>
      <c r="D225" s="59" t="s">
        <v>209</v>
      </c>
    </row>
    <row r="226" spans="1:6" ht="18.75" x14ac:dyDescent="0.35">
      <c r="A226" s="59" t="s">
        <v>325</v>
      </c>
      <c r="B226" s="59" t="s">
        <v>238</v>
      </c>
      <c r="C226" s="4">
        <v>249</v>
      </c>
      <c r="D226" s="59" t="s">
        <v>209</v>
      </c>
    </row>
    <row r="227" spans="1:6" x14ac:dyDescent="0.25">
      <c r="A227" s="91" t="s">
        <v>279</v>
      </c>
      <c r="B227" s="77"/>
      <c r="C227" s="63"/>
      <c r="D227" s="63"/>
      <c r="E227" s="91" t="s">
        <v>20</v>
      </c>
      <c r="F227" s="91"/>
    </row>
    <row r="228" spans="1:6" ht="18.75" x14ac:dyDescent="0.35">
      <c r="A228" s="59" t="s">
        <v>239</v>
      </c>
      <c r="B228" s="59" t="s">
        <v>240</v>
      </c>
      <c r="C228" s="65">
        <f>(((pout*0.15/VOUT)+(dilout/2))*RS)/(_ta1*_ta2)</f>
        <v>0.29211738837386608</v>
      </c>
      <c r="D228" s="59" t="s">
        <v>18</v>
      </c>
    </row>
    <row r="229" spans="1:6" ht="18.75" x14ac:dyDescent="0.35">
      <c r="A229" s="59" t="s">
        <v>182</v>
      </c>
      <c r="B229" s="59" t="s">
        <v>241</v>
      </c>
      <c r="C229" s="4">
        <v>1</v>
      </c>
      <c r="D229" s="59" t="s">
        <v>209</v>
      </c>
    </row>
    <row r="230" spans="1:6" ht="18.75" x14ac:dyDescent="0.35">
      <c r="A230" s="59" t="s">
        <v>243</v>
      </c>
      <c r="B230" s="59" t="s">
        <v>242</v>
      </c>
      <c r="C230" s="64">
        <f>(C229*(5-C228)/C228)</f>
        <v>16.116406619385344</v>
      </c>
      <c r="D230" s="59" t="s">
        <v>209</v>
      </c>
    </row>
    <row r="231" spans="1:6" ht="18.75" x14ac:dyDescent="0.35">
      <c r="A231" s="59" t="s">
        <v>297</v>
      </c>
      <c r="B231" s="59" t="s">
        <v>242</v>
      </c>
      <c r="C231" s="97">
        <f>(IF((10^(LOG(C230)-INT(LOG(C230)))*100)-VLOOKUP((10^(LOG(C230)-INT(LOG(C230)))*100),E48_s:E48_f,1)&lt;VLOOKUP((10^(LOG(C230)-INT(LOG(C230)))*100),E48_s:E48_f,2)-(10^(LOG(C230)-INT(LOG(C230)))*100),VLOOKUP((10^(LOG(C230)-INT(LOG(C230)))*100),E48_s:E48_f,1),VLOOKUP((10^(LOG(C230)-INT(LOG(C230)))*100),E48_s:E48_f,2)))*10^INT(LOG(C230))/100</f>
        <v>16.2</v>
      </c>
      <c r="D231" s="59" t="s">
        <v>209</v>
      </c>
    </row>
    <row r="232" spans="1:6" ht="18.75" x14ac:dyDescent="0.35">
      <c r="A232" s="59" t="s">
        <v>325</v>
      </c>
      <c r="B232" s="59" t="s">
        <v>242</v>
      </c>
      <c r="C232" s="2">
        <v>16.2</v>
      </c>
      <c r="D232" s="59" t="s">
        <v>209</v>
      </c>
    </row>
  </sheetData>
  <sheetProtection sheet="1" objects="1" scenarios="1"/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L30"/>
  <sheetViews>
    <sheetView workbookViewId="0">
      <selection activeCell="J7" sqref="J7"/>
    </sheetView>
  </sheetViews>
  <sheetFormatPr defaultRowHeight="12.75" x14ac:dyDescent="0.2"/>
  <sheetData>
    <row r="30" spans="12:12" x14ac:dyDescent="0.2">
      <c r="L30" t="s">
        <v>20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5125" r:id="rId4">
          <objectPr defaultSize="0" autoPict="0" r:id="rId5">
            <anchor moveWithCells="1">
              <from>
                <xdr:col>0</xdr:col>
                <xdr:colOff>47625</xdr:colOff>
                <xdr:row>5</xdr:row>
                <xdr:rowOff>57150</xdr:rowOff>
              </from>
              <to>
                <xdr:col>8</xdr:col>
                <xdr:colOff>533400</xdr:colOff>
                <xdr:row>46</xdr:row>
                <xdr:rowOff>57150</xdr:rowOff>
              </to>
            </anchor>
          </objectPr>
        </oleObject>
      </mc:Choice>
      <mc:Fallback>
        <oleObject progId="Visio.Drawing.6" shapeId="51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defaultRowHeight="12.75" x14ac:dyDescent="0.2"/>
  <sheetData/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"/>
  <sheetViews>
    <sheetView workbookViewId="0">
      <selection activeCell="I3" sqref="I3"/>
    </sheetView>
  </sheetViews>
  <sheetFormatPr defaultRowHeight="12.75" x14ac:dyDescent="0.2"/>
  <sheetData>
    <row r="31" spans="7:7" x14ac:dyDescent="0.2">
      <c r="G31" t="s">
        <v>20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workbookViewId="0">
      <selection sqref="A1:IV65536"/>
    </sheetView>
  </sheetViews>
  <sheetFormatPr defaultRowHeight="12.75" x14ac:dyDescent="0.2"/>
  <cols>
    <col min="1" max="1" width="9.140625" style="84"/>
    <col min="2" max="2" width="10.140625" style="84" customWidth="1"/>
    <col min="3" max="3" width="9.140625" style="84"/>
    <col min="4" max="4" width="12.42578125" style="84" customWidth="1"/>
    <col min="5" max="5" width="21.5703125" style="84" customWidth="1"/>
    <col min="6" max="6" width="15.42578125" style="84" customWidth="1"/>
    <col min="7" max="7" width="21.140625" style="84" customWidth="1"/>
    <col min="8" max="8" width="9.140625" style="84"/>
    <col min="9" max="9" width="14.28515625" style="84" customWidth="1"/>
    <col min="10" max="10" width="17.140625" style="84" customWidth="1"/>
    <col min="11" max="11" width="11.85546875" style="84" customWidth="1"/>
    <col min="12" max="12" width="13.5703125" style="84" customWidth="1"/>
    <col min="13" max="16384" width="9.140625" style="84"/>
  </cols>
  <sheetData>
    <row r="1" spans="1:18" ht="42.75" x14ac:dyDescent="0.3">
      <c r="A1" s="84" t="s">
        <v>246</v>
      </c>
      <c r="B1" s="84" t="s">
        <v>261</v>
      </c>
      <c r="C1" s="84" t="s">
        <v>191</v>
      </c>
      <c r="D1" s="84" t="s">
        <v>247</v>
      </c>
      <c r="E1" s="58" t="s">
        <v>248</v>
      </c>
      <c r="F1" s="84" t="s">
        <v>249</v>
      </c>
      <c r="G1" s="84" t="s">
        <v>250</v>
      </c>
      <c r="H1" s="84" t="s">
        <v>251</v>
      </c>
      <c r="I1" s="88" t="s">
        <v>252</v>
      </c>
      <c r="J1" s="88" t="s">
        <v>253</v>
      </c>
      <c r="K1" s="88" t="s">
        <v>254</v>
      </c>
      <c r="L1" s="84" t="s">
        <v>255</v>
      </c>
      <c r="M1" s="84" t="s">
        <v>256</v>
      </c>
      <c r="N1" s="84" t="s">
        <v>257</v>
      </c>
      <c r="O1" s="84" t="s">
        <v>262</v>
      </c>
      <c r="P1" s="90" t="s">
        <v>259</v>
      </c>
      <c r="Q1" s="90" t="s">
        <v>260</v>
      </c>
      <c r="R1" s="84" t="s">
        <v>258</v>
      </c>
    </row>
    <row r="2" spans="1:18" ht="15" x14ac:dyDescent="0.2">
      <c r="A2" s="85">
        <f>1</f>
        <v>1</v>
      </c>
      <c r="B2" s="84">
        <v>100</v>
      </c>
      <c r="C2" s="84">
        <f t="shared" ref="C2:C33" si="0">_ta1*_ta2*(rload/RS)</f>
        <v>359.4445390070922</v>
      </c>
      <c r="D2" s="58" t="str">
        <f t="shared" ref="D2:D33" si="1">IMDIV((COMPLEX(1,2*PI()*(B2)*(esrcout*0.001)*(cout*0.000001))),(COMPLEX(1,2*PI()*(B2)*rload*(cout*0.000001))))</f>
        <v>0.00037897844504906-0.0120252930309177i</v>
      </c>
      <c r="E2" s="58" t="str">
        <f t="shared" ref="E2:E33" si="2">IMDIV(1,(COMPLEX((1-(B2/(fpp*1000))^2),(B2/(fpp*1000)))))</f>
        <v>0.999999999743996-0.00400006399999998i</v>
      </c>
      <c r="F2" s="84" t="str">
        <f t="shared" ref="F2:F33" si="3">IMPRODUCT(D2,E2)</f>
        <v>0.000330876503209615-0.012026808965874i</v>
      </c>
      <c r="G2" s="84" t="str">
        <f t="shared" ref="G2:G33" si="4">IMPRODUCT(C2,F2)</f>
        <v>0.118931752164459-4.32297080446494i</v>
      </c>
      <c r="H2" s="87">
        <f t="shared" ref="H2:H33" si="5">IMABS(G2)</f>
        <v>4.3246064951541143</v>
      </c>
      <c r="I2" s="58" t="str">
        <f t="shared" ref="I2:I33" si="6">IMDIV((COMPLEX(1,(2*PI()*B2*(rf*1000)*(Cz*0.000000001)))),(COMPLEX(0,2*PI()*B2*((Cz*0.000000001)+(Cp*0.000000000001))*(RII*1000))))</f>
        <v>4.62962962962962-22.900650823318i</v>
      </c>
      <c r="J2" s="89" t="str">
        <f t="shared" ref="J2:J33" si="7">IMDIV(1,(COMPLEX(1,2*PI()*B2*(((Cz*0.000000001)*(Cp*0.000000000001))/((Cz*0.000000001)+(Cp*0.000000000001)))*(rf*1000))))</f>
        <v>0.999662351508395-0.0183721116124791i</v>
      </c>
      <c r="K2" s="89" t="str">
        <f t="shared" ref="K2:K33" si="8">IMPRODUCT(I2,J2)</f>
        <v>4.20733312924408-22.9779745253907i</v>
      </c>
      <c r="L2" s="89" t="str">
        <f t="shared" ref="L2:L33" si="9">IMPRODUCT(G2,K2)</f>
        <v>-98.8327275180025-20.9209890538753i</v>
      </c>
      <c r="M2" s="84">
        <f t="shared" ref="M2:M33" si="10">20*LOG(IMABS(L2))</f>
        <v>40.08838364285225</v>
      </c>
      <c r="N2" s="84">
        <f t="shared" ref="N2:N33" si="11">(180/PI())*IMARGUMENT(L2)+180</f>
        <v>11.951982061949224</v>
      </c>
      <c r="O2" s="84">
        <f t="shared" ref="O2:O55" si="12">IF(N2&gt;180,-(360-N2),N2)</f>
        <v>11.951982061949224</v>
      </c>
      <c r="P2" s="84">
        <v>48.311999999999998</v>
      </c>
      <c r="Q2" s="84">
        <v>11.617000000000001</v>
      </c>
      <c r="R2" s="84">
        <f>B2</f>
        <v>100</v>
      </c>
    </row>
    <row r="3" spans="1:18" ht="15" x14ac:dyDescent="0.2">
      <c r="A3" s="85">
        <f>1+A2</f>
        <v>2</v>
      </c>
      <c r="B3" s="84">
        <v>1000</v>
      </c>
      <c r="C3" s="84">
        <f t="shared" si="0"/>
        <v>359.4445390070922</v>
      </c>
      <c r="D3" s="58" t="str">
        <f t="shared" si="1"/>
        <v>0.000235762780824038-0.00120270158941746i</v>
      </c>
      <c r="E3" s="58" t="str">
        <f t="shared" si="2"/>
        <v>0.999997435904011-0.0400639998358979i</v>
      </c>
      <c r="F3" s="84" t="str">
        <f t="shared" si="3"/>
        <v>0.000187577140024582-0.00121214410558738i</v>
      </c>
      <c r="G3" s="84" t="str">
        <f t="shared" si="4"/>
        <v>0.0674235786244047-0.43569857924302i</v>
      </c>
      <c r="H3" s="87">
        <f t="shared" si="5"/>
        <v>0.44088455508092761</v>
      </c>
      <c r="I3" s="58" t="str">
        <f t="shared" si="6"/>
        <v>4.62962962962962-2.2900650823318i</v>
      </c>
      <c r="J3" s="89" t="str">
        <f t="shared" si="7"/>
        <v>0.96732730748845-0.177778479225117i</v>
      </c>
      <c r="K3" s="89" t="str">
        <f t="shared" si="8"/>
        <v>4.07124287663488-3.03829100499643i</v>
      </c>
      <c r="L3" s="89" t="str">
        <f t="shared" si="9"/>
        <v>-1.04928131001195-1.97868718956228i</v>
      </c>
      <c r="M3" s="84">
        <f t="shared" si="10"/>
        <v>7.0037434702945109</v>
      </c>
      <c r="N3" s="84">
        <f t="shared" si="11"/>
        <v>62.063365750505724</v>
      </c>
      <c r="O3" s="84">
        <f t="shared" si="12"/>
        <v>62.063365750505724</v>
      </c>
    </row>
    <row r="4" spans="1:18" ht="15" x14ac:dyDescent="0.2">
      <c r="A4" s="85">
        <f t="shared" ref="A4:A67" si="13">1+A3</f>
        <v>3</v>
      </c>
      <c r="B4" s="84">
        <f t="shared" ref="B4:B35" si="14">(fs*1000/2)*(A4/100)</f>
        <v>1500</v>
      </c>
      <c r="C4" s="84">
        <f t="shared" si="0"/>
        <v>359.4445390070922</v>
      </c>
      <c r="D4" s="58" t="str">
        <f t="shared" si="1"/>
        <v>0.000234958985661932-0.000801801704247434i</v>
      </c>
      <c r="E4" s="58" t="str">
        <f t="shared" si="2"/>
        <v>0.999986993344607-0.0602159971905624i</v>
      </c>
      <c r="F4" s="84" t="str">
        <f t="shared" si="3"/>
        <v>0.000186674640461022-0.00081593956510949i</v>
      </c>
      <c r="G4" s="84" t="str">
        <f t="shared" si="4"/>
        <v>0.0670991800848267-0.293285020838428i</v>
      </c>
      <c r="H4" s="87">
        <f t="shared" si="5"/>
        <v>0.30086276508776078</v>
      </c>
      <c r="I4" s="58" t="str">
        <f t="shared" si="6"/>
        <v>4.62962962962964-1.52671005488787i</v>
      </c>
      <c r="J4" s="89" t="str">
        <f t="shared" si="7"/>
        <v>0.929370991687741-0.256204120765232i</v>
      </c>
      <c r="K4" s="89" t="str">
        <f t="shared" si="8"/>
        <v>3.91149407275986-2.60501022645871i</v>
      </c>
      <c r="L4" s="89" t="str">
        <f t="shared" si="9"/>
        <v>-0.501552433362415-1.32197667094673i</v>
      </c>
      <c r="M4" s="84">
        <f t="shared" si="10"/>
        <v>3.0085128188367296</v>
      </c>
      <c r="N4" s="84">
        <f t="shared" si="11"/>
        <v>69.223463672601241</v>
      </c>
      <c r="O4" s="84">
        <f t="shared" si="12"/>
        <v>69.223463672601241</v>
      </c>
    </row>
    <row r="5" spans="1:18" ht="15" x14ac:dyDescent="0.2">
      <c r="A5" s="85">
        <f t="shared" si="13"/>
        <v>4</v>
      </c>
      <c r="B5" s="84">
        <f t="shared" si="14"/>
        <v>2000</v>
      </c>
      <c r="C5" s="84">
        <f t="shared" si="0"/>
        <v>359.4445390070922</v>
      </c>
      <c r="D5" s="58" t="str">
        <f t="shared" si="1"/>
        <v>0.000234677657049847-0.000601351447402655i</v>
      </c>
      <c r="E5" s="58" t="str">
        <f t="shared" si="2"/>
        <v>0.999958777866806-0.0805119788942678i</v>
      </c>
      <c r="F5" s="84" t="str">
        <f t="shared" si="3"/>
        <v>0.00018625198809489-0.000620221020984547i</v>
      </c>
      <c r="G5" s="84" t="str">
        <f t="shared" si="4"/>
        <v>0.0669472599999222-0.222935058970299i</v>
      </c>
      <c r="H5" s="87">
        <f t="shared" si="5"/>
        <v>0.23277022176298209</v>
      </c>
      <c r="I5" s="58" t="str">
        <f t="shared" si="6"/>
        <v>4.62962962962962-1.1450325411659i</v>
      </c>
      <c r="J5" s="89" t="str">
        <f t="shared" si="7"/>
        <v>0.880975757394054-0.323817035188124i</v>
      </c>
      <c r="K5" s="89" t="str">
        <f t="shared" si="8"/>
        <v>3.70781042674264-2.50789885088022i</v>
      </c>
      <c r="L5" s="89" t="str">
        <f t="shared" si="9"/>
        <v>-0.310870829542965-0.994497892559944i</v>
      </c>
      <c r="M5" s="84">
        <f t="shared" si="10"/>
        <v>0.3569652956695113</v>
      </c>
      <c r="N5" s="84">
        <f t="shared" si="11"/>
        <v>72.641239150800459</v>
      </c>
      <c r="O5" s="84">
        <f t="shared" si="12"/>
        <v>72.641239150800459</v>
      </c>
    </row>
    <row r="6" spans="1:18" ht="15" x14ac:dyDescent="0.2">
      <c r="A6" s="85">
        <f t="shared" si="13"/>
        <v>5</v>
      </c>
      <c r="B6" s="84">
        <f t="shared" si="14"/>
        <v>2500</v>
      </c>
      <c r="C6" s="84">
        <f t="shared" si="0"/>
        <v>359.4445390070922</v>
      </c>
      <c r="D6" s="58" t="str">
        <f t="shared" si="1"/>
        <v>0.000234547442038652-0.000481081220580817i</v>
      </c>
      <c r="E6" s="58" t="str">
        <f t="shared" si="2"/>
        <v>0.999899000101-0.100999899000101i</v>
      </c>
      <c r="F6" s="84" t="str">
        <f t="shared" si="3"/>
        <v>0.000185934598081188-0.000504721899382763i</v>
      </c>
      <c r="G6" s="84" t="str">
        <f t="shared" si="4"/>
        <v>0.0668331758927616-0.181419530450421i</v>
      </c>
      <c r="H6" s="87">
        <f t="shared" si="5"/>
        <v>0.19333835477929373</v>
      </c>
      <c r="I6" s="58" t="str">
        <f t="shared" si="6"/>
        <v>4.62962962962962-0.916026032932717i</v>
      </c>
      <c r="J6" s="89" t="str">
        <f t="shared" si="7"/>
        <v>0.825694567712058-0.379371913249855i</v>
      </c>
      <c r="K6" s="89" t="str">
        <f t="shared" si="8"/>
        <v>3.4751454870036-2.51270916950618i</v>
      </c>
      <c r="L6" s="89" t="str">
        <f t="shared" si="9"/>
        <v>-0.22359950810443-0.798391596392054i</v>
      </c>
      <c r="M6" s="84">
        <f t="shared" si="10"/>
        <v>-1.6277412093776753</v>
      </c>
      <c r="N6" s="84">
        <f t="shared" si="11"/>
        <v>74.35443550188009</v>
      </c>
      <c r="O6" s="84">
        <f t="shared" si="12"/>
        <v>74.35443550188009</v>
      </c>
    </row>
    <row r="7" spans="1:18" ht="15" x14ac:dyDescent="0.2">
      <c r="A7" s="85">
        <f t="shared" si="13"/>
        <v>6</v>
      </c>
      <c r="B7" s="84">
        <f t="shared" si="14"/>
        <v>3000</v>
      </c>
      <c r="C7" s="84">
        <f t="shared" si="0"/>
        <v>359.4445390070922</v>
      </c>
      <c r="D7" s="58" t="str">
        <f t="shared" si="1"/>
        <v>0.000234476707944279-0.000400901045514704i</v>
      </c>
      <c r="E7" s="58" t="str">
        <f t="shared" si="2"/>
        <v>0.999789654644088-0.121727636523225i</v>
      </c>
      <c r="F7" s="84" t="str">
        <f t="shared" si="3"/>
        <v>0.000185626650107499-0.000429359013319403i</v>
      </c>
      <c r="G7" s="84" t="str">
        <f t="shared" si="4"/>
        <v>0.0667224856753208-0.154330752611133i</v>
      </c>
      <c r="H7" s="87">
        <f t="shared" si="5"/>
        <v>0.16813646628917867</v>
      </c>
      <c r="I7" s="58" t="str">
        <f t="shared" si="6"/>
        <v>4.62962962962964-0.763355027443933i</v>
      </c>
      <c r="J7" s="89" t="str">
        <f t="shared" si="7"/>
        <v>0.766879232605222-0.422818489666722i</v>
      </c>
      <c r="K7" s="89" t="str">
        <f t="shared" si="8"/>
        <v>3.22760619783343-2.54289412536785i</v>
      </c>
      <c r="L7" s="89" t="str">
        <f t="shared" si="9"/>
        <v>-0.177092855877931-0.667787110497704i</v>
      </c>
      <c r="M7" s="84">
        <f t="shared" si="10"/>
        <v>-3.2120719664846731</v>
      </c>
      <c r="N7" s="84">
        <f t="shared" si="11"/>
        <v>75.147409791761135</v>
      </c>
      <c r="O7" s="84">
        <f t="shared" si="12"/>
        <v>75.147409791761135</v>
      </c>
    </row>
    <row r="8" spans="1:18" ht="15" x14ac:dyDescent="0.2">
      <c r="A8" s="85">
        <f t="shared" si="13"/>
        <v>7</v>
      </c>
      <c r="B8" s="84">
        <f t="shared" si="14"/>
        <v>3500.0000000000005</v>
      </c>
      <c r="C8" s="84">
        <f t="shared" si="0"/>
        <v>359.4445390070922</v>
      </c>
      <c r="D8" s="58" t="str">
        <f t="shared" si="1"/>
        <v>0.000234434057511481-0.000343629482243415i</v>
      </c>
      <c r="E8" s="58" t="str">
        <f t="shared" si="2"/>
        <v>0.999608313413218-0.142742925212006i</v>
      </c>
      <c r="F8" s="84" t="str">
        <f t="shared" si="3"/>
        <v>0.000185291555351157-0.000376958690322906i</v>
      </c>
      <c r="G8" s="84" t="str">
        <f t="shared" si="4"/>
        <v>0.0666020376951037-0.135495742667834i</v>
      </c>
      <c r="H8" s="87">
        <f t="shared" si="5"/>
        <v>0.15097989172816326</v>
      </c>
      <c r="I8" s="58" t="str">
        <f t="shared" si="6"/>
        <v>4.62962962962964-0.654304309237658i</v>
      </c>
      <c r="J8" s="89" t="str">
        <f t="shared" si="7"/>
        <v>0.707334081738252-0.454986349849922i</v>
      </c>
      <c r="K8" s="89" t="str">
        <f t="shared" si="8"/>
        <v>2.97699529351117-2.56923002409424i</v>
      </c>
      <c r="L8" s="89" t="str">
        <f t="shared" si="9"/>
        <v>-0.149845777442569-0.574486143125059i</v>
      </c>
      <c r="M8" s="84">
        <f t="shared" si="10"/>
        <v>-4.5285555787693008</v>
      </c>
      <c r="N8" s="84">
        <f t="shared" si="11"/>
        <v>75.381009760975402</v>
      </c>
      <c r="O8" s="84">
        <f t="shared" si="12"/>
        <v>75.381009760975402</v>
      </c>
    </row>
    <row r="9" spans="1:18" ht="15" x14ac:dyDescent="0.2">
      <c r="A9" s="85">
        <f t="shared" si="13"/>
        <v>8</v>
      </c>
      <c r="B9" s="84">
        <f t="shared" si="14"/>
        <v>4000</v>
      </c>
      <c r="C9" s="84">
        <f t="shared" si="0"/>
        <v>359.4445390070922</v>
      </c>
      <c r="D9" s="58" t="str">
        <f t="shared" si="1"/>
        <v>0.000234406375738246-0.000300675805288179i</v>
      </c>
      <c r="E9" s="58" t="str">
        <f t="shared" si="2"/>
        <v>0.999327874060402-0.164093246972151i</v>
      </c>
      <c r="F9" s="84" t="str">
        <f t="shared" si="3"/>
        <v>0.000184909955957002-0.000338938216585898i</v>
      </c>
      <c r="G9" s="84" t="str">
        <f t="shared" si="4"/>
        <v>0.0664648738767863-0.121829491012604i</v>
      </c>
      <c r="H9" s="87">
        <f t="shared" si="5"/>
        <v>0.13878041771030691</v>
      </c>
      <c r="I9" s="58" t="str">
        <f t="shared" si="6"/>
        <v>4.62962962962963-0.572516270582949i</v>
      </c>
      <c r="J9" s="89" t="str">
        <f t="shared" si="7"/>
        <v>0.649173577314943-0.477228712286952i</v>
      </c>
      <c r="K9" s="89" t="str">
        <f t="shared" si="8"/>
        <v>2.73221202573629-2.58105462195901i</v>
      </c>
      <c r="L9" s="89" t="str">
        <f t="shared" si="9"/>
        <v>-0.132852443173794-0.50441347035157i</v>
      </c>
      <c r="M9" s="84">
        <f t="shared" si="10"/>
        <v>-5.6529903826498371</v>
      </c>
      <c r="N9" s="84">
        <f t="shared" si="11"/>
        <v>75.244533842518734</v>
      </c>
      <c r="O9" s="84">
        <f t="shared" si="12"/>
        <v>75.244533842518734</v>
      </c>
    </row>
    <row r="10" spans="1:18" ht="15" x14ac:dyDescent="0.2">
      <c r="A10" s="85">
        <f t="shared" si="13"/>
        <v>9</v>
      </c>
      <c r="B10" s="84">
        <f t="shared" si="14"/>
        <v>4500</v>
      </c>
      <c r="C10" s="84">
        <f t="shared" si="0"/>
        <v>359.4445390070922</v>
      </c>
      <c r="D10" s="58" t="str">
        <f t="shared" si="1"/>
        <v>0.000234387397204764-0.000267267387551913i</v>
      </c>
      <c r="E10" s="58" t="str">
        <f t="shared" si="2"/>
        <v>0.99891626463625-0.185825679655359i</v>
      </c>
      <c r="F10" s="84" t="str">
        <f t="shared" si="3"/>
        <v>0.000184468239352049-0.000310532937820672i</v>
      </c>
      <c r="G10" s="84" t="str">
        <f t="shared" si="4"/>
        <v>0.0663061012553472-0.111619368681469i</v>
      </c>
      <c r="H10" s="87">
        <f t="shared" si="5"/>
        <v>0.1298282809272851</v>
      </c>
      <c r="I10" s="58" t="str">
        <f t="shared" si="6"/>
        <v>4.62962962962963-0.508903351629289i</v>
      </c>
      <c r="J10" s="89" t="str">
        <f t="shared" si="7"/>
        <v>0.593835111485804-0.491116047235729i</v>
      </c>
      <c r="K10" s="89" t="str">
        <f t="shared" si="8"/>
        <v>2.4993060247719-2.57589008241939i</v>
      </c>
      <c r="L10" s="89" t="str">
        <f t="shared" si="9"/>
        <v>-0.121799986445885-0.449768189254376i</v>
      </c>
      <c r="M10" s="84">
        <f t="shared" si="10"/>
        <v>-6.6328684669055651</v>
      </c>
      <c r="N10" s="84">
        <f t="shared" si="11"/>
        <v>74.847383640553247</v>
      </c>
      <c r="O10" s="84">
        <f t="shared" si="12"/>
        <v>74.847383640553247</v>
      </c>
    </row>
    <row r="11" spans="1:18" ht="15" x14ac:dyDescent="0.2">
      <c r="A11" s="85">
        <f t="shared" si="13"/>
        <v>10</v>
      </c>
      <c r="B11" s="84">
        <f t="shared" si="14"/>
        <v>5000</v>
      </c>
      <c r="C11" s="84">
        <f t="shared" si="0"/>
        <v>359.4445390070922</v>
      </c>
      <c r="D11" s="58" t="str">
        <f t="shared" si="1"/>
        <v>0.00023437382197096-0.000240540652062883i</v>
      </c>
      <c r="E11" s="58" t="str">
        <f t="shared" si="2"/>
        <v>0.998336106489185-0.207986688851913i</v>
      </c>
      <c r="F11" s="84" t="str">
        <f t="shared" si="3"/>
        <v>0.000183954595132639-0.000288887053218136i</v>
      </c>
      <c r="G11" s="84" t="str">
        <f t="shared" si="4"/>
        <v>0.0661214746456877-0.10383887366911i</v>
      </c>
      <c r="H11" s="87">
        <f t="shared" si="5"/>
        <v>0.12310386303520174</v>
      </c>
      <c r="I11" s="58" t="str">
        <f t="shared" si="6"/>
        <v>4.62962962962966-0.458013016466361i</v>
      </c>
      <c r="J11" s="89" t="str">
        <f t="shared" si="7"/>
        <v>0.542179875159539-0.498217681472191i</v>
      </c>
      <c r="K11" s="89" t="str">
        <f t="shared" si="8"/>
        <v>2.28190183147956-2.55488878023822i</v>
      </c>
      <c r="L11" s="89" t="str">
        <f t="shared" si="9"/>
        <v>-0.114414059195659-0.40588312970939i</v>
      </c>
      <c r="M11" s="84">
        <f t="shared" si="10"/>
        <v>-7.499908395336897</v>
      </c>
      <c r="N11" s="84">
        <f t="shared" si="11"/>
        <v>74.257430489650048</v>
      </c>
      <c r="O11" s="84">
        <f t="shared" si="12"/>
        <v>74.257430489650048</v>
      </c>
    </row>
    <row r="12" spans="1:18" ht="15" x14ac:dyDescent="0.2">
      <c r="A12" s="85">
        <f t="shared" si="13"/>
        <v>11</v>
      </c>
      <c r="B12" s="84">
        <f t="shared" si="14"/>
        <v>5500</v>
      </c>
      <c r="C12" s="84">
        <f t="shared" si="0"/>
        <v>359.4445390070922</v>
      </c>
      <c r="D12" s="58" t="str">
        <f t="shared" si="1"/>
        <v>0.000234363777832968-0.000218673322254066i</v>
      </c>
      <c r="E12" s="58" t="str">
        <f t="shared" si="2"/>
        <v>0.997544338518663-0.230621852116547i</v>
      </c>
      <c r="F12" s="84" t="str">
        <f t="shared" si="3"/>
        <v>0.000183357413144412-0.000272185743112481i</v>
      </c>
      <c r="G12" s="84" t="str">
        <f t="shared" si="4"/>
        <v>0.0659068208412261-0.0978356789573686i</v>
      </c>
      <c r="H12" s="87">
        <f t="shared" si="5"/>
        <v>0.11796410093942467</v>
      </c>
      <c r="I12" s="58" t="str">
        <f t="shared" si="6"/>
        <v>4.62962962962964-0.416375469514872i</v>
      </c>
      <c r="J12" s="89" t="str">
        <f t="shared" si="7"/>
        <v>0.494625480336575-0.499971113703969i</v>
      </c>
      <c r="K12" s="89" t="str">
        <f t="shared" si="8"/>
        <v>2.08175707212364-2.52063099857199i</v>
      </c>
      <c r="L12" s="89" t="str">
        <f t="shared" si="9"/>
        <v>-0.109405654758873-0.369796892205245i</v>
      </c>
      <c r="M12" s="84">
        <f t="shared" si="10"/>
        <v>-8.2763255415169343</v>
      </c>
      <c r="N12" s="84">
        <f t="shared" si="11"/>
        <v>73.518971380618808</v>
      </c>
      <c r="O12" s="84">
        <f t="shared" si="12"/>
        <v>73.518971380618808</v>
      </c>
    </row>
    <row r="13" spans="1:18" ht="15" x14ac:dyDescent="0.2">
      <c r="A13" s="85">
        <f t="shared" si="13"/>
        <v>12</v>
      </c>
      <c r="B13" s="84">
        <f t="shared" si="14"/>
        <v>6000</v>
      </c>
      <c r="C13" s="84">
        <f t="shared" si="0"/>
        <v>359.4445390070922</v>
      </c>
      <c r="D13" s="58" t="str">
        <f t="shared" si="1"/>
        <v>0.000234356138442163-0.00020045054693124i</v>
      </c>
      <c r="E13" s="58" t="str">
        <f t="shared" si="2"/>
        <v>0.996491807450037-0.253775502746189i</v>
      </c>
      <c r="F13" s="84" t="str">
        <f t="shared" si="3"/>
        <v>0.000182664533660018-0.000259221174670675i</v>
      </c>
      <c r="G13" s="84" t="str">
        <f t="shared" si="4"/>
        <v>0.0656577690943706-0.0931756356303777i</v>
      </c>
      <c r="H13" s="87">
        <f t="shared" si="5"/>
        <v>0.11398526973944748</v>
      </c>
      <c r="I13" s="58" t="str">
        <f t="shared" si="6"/>
        <v>4.62962962962964-0.381677513721967i</v>
      </c>
      <c r="J13" s="89" t="str">
        <f t="shared" si="7"/>
        <v>0.451274711472348-0.497620182727647i</v>
      </c>
      <c r="K13" s="89" t="str">
        <f t="shared" si="8"/>
        <v>1.89930434121359-2.47603855213799i</v>
      </c>
      <c r="L13" s="89" t="str">
        <f t="shared" si="9"/>
        <v>-0.10600238006544-0.339540056773148i</v>
      </c>
      <c r="M13" s="84">
        <f t="shared" si="10"/>
        <v>-8.9782724189147984</v>
      </c>
      <c r="N13" s="84">
        <f t="shared" si="11"/>
        <v>72.661947651040109</v>
      </c>
      <c r="O13" s="84">
        <f t="shared" si="12"/>
        <v>72.661947651040109</v>
      </c>
    </row>
    <row r="14" spans="1:18" ht="15" x14ac:dyDescent="0.2">
      <c r="A14" s="85">
        <f t="shared" si="13"/>
        <v>13</v>
      </c>
      <c r="B14" s="84">
        <f t="shared" si="14"/>
        <v>6500</v>
      </c>
      <c r="C14" s="84">
        <f t="shared" si="0"/>
        <v>359.4445390070922</v>
      </c>
      <c r="D14" s="58" t="str">
        <f t="shared" si="1"/>
        <v>0.00023435019319969-0.000185031275190689i</v>
      </c>
      <c r="E14" s="58" t="str">
        <f t="shared" si="2"/>
        <v>0.99512283085849-0.277490278875169i</v>
      </c>
      <c r="F14" s="84" t="str">
        <f t="shared" si="3"/>
        <v>0.000181862847515817-0.000249158746830546i</v>
      </c>
      <c r="G14" s="84" t="str">
        <f t="shared" si="4"/>
        <v>0.0653696073878399-0.0895587508940904i</v>
      </c>
      <c r="H14" s="87">
        <f t="shared" si="5"/>
        <v>0.11087811069706262</v>
      </c>
      <c r="I14" s="58" t="str">
        <f t="shared" si="6"/>
        <v>4.62962962962964-0.352317704974123i</v>
      </c>
      <c r="J14" s="89" t="str">
        <f t="shared" si="7"/>
        <v>0.412023383362025-0.492199263433962i</v>
      </c>
      <c r="K14" s="89" t="str">
        <f t="shared" si="8"/>
        <v>1.73410514883008-2.42386342649754i</v>
      </c>
      <c r="L14" s="89" t="str">
        <f t="shared" si="9"/>
        <v>-0.103720408066736-0.313751291600121i</v>
      </c>
      <c r="M14" s="84">
        <f t="shared" si="10"/>
        <v>-9.6178612703008639</v>
      </c>
      <c r="N14" s="84">
        <f t="shared" si="11"/>
        <v>71.707063884193147</v>
      </c>
      <c r="O14" s="84">
        <f t="shared" si="12"/>
        <v>71.707063884193147</v>
      </c>
    </row>
    <row r="15" spans="1:18" ht="15" x14ac:dyDescent="0.2">
      <c r="A15" s="85">
        <f t="shared" si="13"/>
        <v>14</v>
      </c>
      <c r="B15" s="84">
        <f t="shared" si="14"/>
        <v>7000.0000000000009</v>
      </c>
      <c r="C15" s="84">
        <f t="shared" si="0"/>
        <v>359.4445390070922</v>
      </c>
      <c r="D15" s="58" t="str">
        <f t="shared" si="1"/>
        <v>0.000234345475831733-0.000171814756344915i</v>
      </c>
      <c r="E15" s="58" t="str">
        <f t="shared" si="2"/>
        <v>0.993374742343426-0.301806562343923i</v>
      </c>
      <c r="F15" s="84" t="str">
        <f t="shared" si="3"/>
        <v>0.000180938055701278-0.000241403441776555i</v>
      </c>
      <c r="G15" s="84" t="str">
        <f t="shared" si="4"/>
        <v>0.0650371960203854-0.0867711488440992i</v>
      </c>
      <c r="H15" s="87">
        <f t="shared" si="5"/>
        <v>0.10843924168823228</v>
      </c>
      <c r="I15" s="58" t="str">
        <f t="shared" si="6"/>
        <v>4.62962962962962-0.327152154618828i</v>
      </c>
      <c r="J15" s="89" t="str">
        <f t="shared" si="7"/>
        <v>0.376642666337553-0.484544082856959i</v>
      </c>
      <c r="K15" s="89" t="str">
        <f t="shared" si="8"/>
        <v>1.58519640714458-2.36647910267i</v>
      </c>
      <c r="L15" s="89" t="str">
        <f t="shared" si="9"/>
        <v>-0.102245380991956-0.291458478669968i</v>
      </c>
      <c r="M15" s="84">
        <f t="shared" si="10"/>
        <v>-10.204417799297348</v>
      </c>
      <c r="N15" s="84">
        <f t="shared" si="11"/>
        <v>70.668823821325432</v>
      </c>
      <c r="O15" s="84">
        <f t="shared" si="12"/>
        <v>70.668823821325432</v>
      </c>
    </row>
    <row r="16" spans="1:18" ht="15" x14ac:dyDescent="0.2">
      <c r="A16" s="85">
        <f t="shared" si="13"/>
        <v>15</v>
      </c>
      <c r="B16" s="84">
        <f t="shared" si="14"/>
        <v>7500</v>
      </c>
      <c r="C16" s="84">
        <f t="shared" si="0"/>
        <v>359.4445390070922</v>
      </c>
      <c r="D16" s="58" t="str">
        <f t="shared" si="1"/>
        <v>0.000234341670099955-0.000160360439865685i</v>
      </c>
      <c r="E16" s="58" t="str">
        <f t="shared" si="2"/>
        <v>0.991177431652325-0.326761790654613i</v>
      </c>
      <c r="F16" s="84" t="str">
        <f t="shared" si="3"/>
        <v>0.000179874510218117-0.000235519552671561i</v>
      </c>
      <c r="G16" s="84" t="str">
        <f t="shared" si="4"/>
        <v>0.0646549104044776-0.0846562170371858i</v>
      </c>
      <c r="H16" s="87">
        <f t="shared" si="5"/>
        <v>0.10652198140505149</v>
      </c>
      <c r="I16" s="58" t="str">
        <f t="shared" si="6"/>
        <v>4.62962962962962-0.305342010977573i</v>
      </c>
      <c r="J16" s="89" t="str">
        <f t="shared" si="7"/>
        <v>0.344837780507485-0.475315353888507i</v>
      </c>
      <c r="K16" s="89" t="str">
        <f t="shared" si="8"/>
        <v>1.45133746004833-2.30582750714132i</v>
      </c>
      <c r="L16" s="89" t="str">
        <f t="shared" si="9"/>
        <v>-0.101366540448782-0.271947809894451i</v>
      </c>
      <c r="M16" s="84">
        <f t="shared" si="10"/>
        <v>-10.745291423943923</v>
      </c>
      <c r="N16" s="84">
        <f t="shared" si="11"/>
        <v>69.557431134463897</v>
      </c>
      <c r="O16" s="84">
        <f t="shared" si="12"/>
        <v>69.557431134463897</v>
      </c>
    </row>
    <row r="17" spans="1:18" ht="15" x14ac:dyDescent="0.2">
      <c r="A17" s="85">
        <f t="shared" si="13"/>
        <v>16</v>
      </c>
      <c r="B17" s="84">
        <f t="shared" si="14"/>
        <v>8000</v>
      </c>
      <c r="C17" s="84">
        <f t="shared" si="0"/>
        <v>359.4445390070922</v>
      </c>
      <c r="D17" s="58" t="str">
        <f t="shared" si="1"/>
        <v>0.000234338555387343-0.000150337912842449i</v>
      </c>
      <c r="E17" s="58" t="str">
        <f t="shared" si="2"/>
        <v>0.98845289678367-0.352389624521807i</v>
      </c>
      <c r="F17" s="84" t="str">
        <f t="shared" si="3"/>
        <v>0.000178655103242777-0.000231180420989458i</v>
      </c>
      <c r="G17" s="84" t="str">
        <f t="shared" si="4"/>
        <v>0.0642166012263644-0.0830965398500212i</v>
      </c>
      <c r="H17" s="87">
        <f t="shared" si="5"/>
        <v>0.10501812609312769</v>
      </c>
      <c r="I17" s="58" t="str">
        <f t="shared" si="6"/>
        <v>4.62962962962965-0.286258135291475i</v>
      </c>
      <c r="J17" s="89" t="str">
        <f t="shared" si="7"/>
        <v>0.316287519888116-0.465026584886435i</v>
      </c>
      <c r="K17" s="89" t="str">
        <f t="shared" si="8"/>
        <v>1.33117643050555-2.24344073161486i</v>
      </c>
      <c r="L17" s="89" t="str">
        <f t="shared" si="9"/>
        <v>-0.100938536156085-0.254682294142008i</v>
      </c>
      <c r="M17" s="84">
        <f t="shared" si="10"/>
        <v>-11.246397031549549</v>
      </c>
      <c r="N17" s="84">
        <f t="shared" si="11"/>
        <v>68.380032773668518</v>
      </c>
      <c r="O17" s="84">
        <f t="shared" si="12"/>
        <v>68.380032773668518</v>
      </c>
    </row>
    <row r="18" spans="1:18" ht="15" x14ac:dyDescent="0.2">
      <c r="A18" s="85">
        <f t="shared" si="13"/>
        <v>17</v>
      </c>
      <c r="B18" s="84">
        <f t="shared" si="14"/>
        <v>8500</v>
      </c>
      <c r="C18" s="84">
        <f t="shared" si="0"/>
        <v>359.4445390070922</v>
      </c>
      <c r="D18" s="58" t="str">
        <f t="shared" si="1"/>
        <v>0.000234335973989721-0.000141494506569997i</v>
      </c>
      <c r="E18" s="58" t="str">
        <f t="shared" si="2"/>
        <v>0.985114830259947-0.378718953288537i</v>
      </c>
      <c r="F18" s="84" t="str">
        <f t="shared" si="3"/>
        <v>0.000177261191816416-0.000228135811609655i</v>
      </c>
      <c r="G18" s="84" t="str">
        <f t="shared" si="4"/>
        <v>0.0637155673762994-0.0820021716350413i</v>
      </c>
      <c r="H18" s="87">
        <f t="shared" si="5"/>
        <v>0.10384618278466723</v>
      </c>
      <c r="I18" s="58" t="str">
        <f t="shared" si="6"/>
        <v>4.62962962962964-0.2694194214508i</v>
      </c>
      <c r="J18" s="89" t="str">
        <f t="shared" si="7"/>
        <v>0.290669424810441-0.454071261247404i</v>
      </c>
      <c r="K18" s="89" t="str">
        <f t="shared" si="8"/>
        <v>1.22335616502711-2.18049375330015i</v>
      </c>
      <c r="L18" s="89" t="str">
        <f t="shared" si="9"/>
        <v>-0.100858390849258-0.239249258867335i</v>
      </c>
      <c r="M18" s="84">
        <f t="shared" si="10"/>
        <v>-11.712587751126842</v>
      </c>
      <c r="N18" s="84">
        <f t="shared" si="11"/>
        <v>67.141561605603442</v>
      </c>
      <c r="O18" s="84">
        <f t="shared" si="12"/>
        <v>67.141561605603442</v>
      </c>
    </row>
    <row r="19" spans="1:18" ht="15" x14ac:dyDescent="0.2">
      <c r="A19" s="85">
        <f t="shared" si="13"/>
        <v>18</v>
      </c>
      <c r="B19" s="84">
        <f t="shared" si="14"/>
        <v>9000</v>
      </c>
      <c r="C19" s="84">
        <f t="shared" si="0"/>
        <v>359.4445390070922</v>
      </c>
      <c r="D19" s="58" t="str">
        <f t="shared" si="1"/>
        <v>0.000234333810753396-0.000133633700938591i</v>
      </c>
      <c r="E19" s="58" t="str">
        <f t="shared" si="2"/>
        <v>0.981068267923973-0.405772721108261i</v>
      </c>
      <c r="F19" s="84" t="str">
        <f t="shared" si="3"/>
        <v>0.000175672555370239-0.000226190051553167i</v>
      </c>
      <c r="G19" s="84" t="str">
        <f t="shared" si="4"/>
        <v>0.0631445406812534-0.0813027788085185i</v>
      </c>
      <c r="H19" s="87">
        <f t="shared" si="5"/>
        <v>0.10294355181279374</v>
      </c>
      <c r="I19" s="58" t="str">
        <f t="shared" si="6"/>
        <v>4.62962962962964-0.254451675814644i</v>
      </c>
      <c r="J19" s="89" t="str">
        <f t="shared" si="7"/>
        <v>0.267674798010193-0.442747106732947i</v>
      </c>
      <c r="K19" s="89" t="str">
        <f t="shared" si="8"/>
        <v>1.12657743270284-2.11786542469069i</v>
      </c>
      <c r="L19" s="89" t="str">
        <f t="shared" si="9"/>
        <v>-0.10105112963995-0.225325515288509i</v>
      </c>
      <c r="M19" s="84">
        <f t="shared" si="10"/>
        <v>-12.147917941460491</v>
      </c>
      <c r="N19" s="84">
        <f t="shared" si="11"/>
        <v>65.84532455996856</v>
      </c>
      <c r="O19" s="84">
        <f t="shared" si="12"/>
        <v>65.84532455996856</v>
      </c>
    </row>
    <row r="20" spans="1:18" ht="15" x14ac:dyDescent="0.2">
      <c r="A20" s="85">
        <f t="shared" si="13"/>
        <v>19</v>
      </c>
      <c r="B20" s="84">
        <f t="shared" si="14"/>
        <v>9500</v>
      </c>
      <c r="C20" s="84">
        <f t="shared" si="0"/>
        <v>359.4445390070922</v>
      </c>
      <c r="D20" s="58" t="str">
        <f t="shared" si="1"/>
        <v>0.000234331980006572-0.00012660034848944i</v>
      </c>
      <c r="E20" s="58" t="str">
        <f t="shared" si="2"/>
        <v>0.976209335792462-0.433566558673604i</v>
      </c>
      <c r="F20" s="84" t="str">
        <f t="shared" si="3"/>
        <v>0.000173867389135703-0.000225186952268592i</v>
      </c>
      <c r="G20" s="84" t="str">
        <f t="shared" si="4"/>
        <v>0.0624956835362495-0.0809422202485961i</v>
      </c>
      <c r="H20" s="87">
        <f t="shared" si="5"/>
        <v>0.10226120221978267</v>
      </c>
      <c r="I20" s="58" t="str">
        <f t="shared" si="6"/>
        <v>4.62962962962962-0.241059482350715i</v>
      </c>
      <c r="J20" s="89" t="str">
        <f t="shared" si="7"/>
        <v>0.247016845916133-0.431276620917224i</v>
      </c>
      <c r="K20" s="89" t="str">
        <f t="shared" si="8"/>
        <v>1.03963318988271-2.05619677577337i</v>
      </c>
      <c r="L20" s="89" t="str">
        <f t="shared" si="9"/>
        <v>-0.10146054547041-0.212653641620226i</v>
      </c>
      <c r="M20" s="84">
        <f t="shared" si="10"/>
        <v>-12.55583291238462</v>
      </c>
      <c r="N20" s="84">
        <f t="shared" si="11"/>
        <v>64.493423940006508</v>
      </c>
      <c r="O20" s="84">
        <f t="shared" si="12"/>
        <v>64.493423940006508</v>
      </c>
    </row>
    <row r="21" spans="1:18" ht="15" x14ac:dyDescent="0.2">
      <c r="A21" s="85">
        <f t="shared" si="13"/>
        <v>20</v>
      </c>
      <c r="B21" s="84">
        <f t="shared" si="14"/>
        <v>10000</v>
      </c>
      <c r="C21" s="84">
        <f t="shared" si="0"/>
        <v>359.4445390070922</v>
      </c>
      <c r="D21" s="58" t="str">
        <f t="shared" si="1"/>
        <v>0.000234330416944615-0.000120270331253002i</v>
      </c>
      <c r="E21" s="58" t="str">
        <f t="shared" si="2"/>
        <v>0.970425138632163-0.462107208872458i</v>
      </c>
      <c r="F21" s="84" t="str">
        <f t="shared" si="3"/>
        <v>0.00017182234026372-0.000224999127807726i</v>
      </c>
      <c r="G21" s="84" t="str">
        <f t="shared" si="4"/>
        <v>0.0617606018872126-0.0808747077718459i</v>
      </c>
      <c r="H21" s="87">
        <f t="shared" si="5"/>
        <v>0.10175996414431482</v>
      </c>
      <c r="I21" s="58" t="str">
        <f t="shared" si="6"/>
        <v>4.62962962962962-0.22900650823318i</v>
      </c>
      <c r="J21" s="89" t="str">
        <f t="shared" si="7"/>
        <v>0.228434348843457-0.419823888210191i</v>
      </c>
      <c r="K21" s="89" t="str">
        <f t="shared" si="8"/>
        <v>0.961424027118925-1.99594206467337i</v>
      </c>
      <c r="L21" s="89" t="str">
        <f t="shared" si="9"/>
        <v>-0.102043104626301-0.201025470484307i</v>
      </c>
      <c r="M21" s="84">
        <f t="shared" si="10"/>
        <v>-12.93930858721926</v>
      </c>
      <c r="N21" s="84">
        <f t="shared" si="11"/>
        <v>63.087066795456977</v>
      </c>
      <c r="O21" s="84">
        <f t="shared" si="12"/>
        <v>63.087066795456977</v>
      </c>
    </row>
    <row r="22" spans="1:18" ht="15" x14ac:dyDescent="0.2">
      <c r="A22" s="85">
        <f t="shared" si="13"/>
        <v>21</v>
      </c>
      <c r="B22" s="84">
        <f t="shared" si="14"/>
        <v>10500</v>
      </c>
      <c r="C22" s="84">
        <f t="shared" si="0"/>
        <v>359.4445390070922</v>
      </c>
      <c r="D22" s="58" t="str">
        <f t="shared" si="1"/>
        <v>0.000234329071815244-0.000114543172776018i</v>
      </c>
      <c r="E22" s="58" t="str">
        <f t="shared" si="2"/>
        <v>0.963593842808501-0.491390740625996i</v>
      </c>
      <c r="F22" s="84" t="str">
        <f t="shared" si="3"/>
        <v>0.000169512596288141-0.000225520232172216i</v>
      </c>
      <c r="G22" s="84" t="str">
        <f t="shared" si="4"/>
        <v>0.0609303770286862-0.0810620158899146i</v>
      </c>
      <c r="H22" s="87">
        <f t="shared" si="5"/>
        <v>0.10140789547660783</v>
      </c>
      <c r="I22" s="58" t="str">
        <f t="shared" si="6"/>
        <v>4.62962962962962-0.218101436412552i</v>
      </c>
      <c r="J22" s="89" t="str">
        <f t="shared" si="7"/>
        <v>0.211692542655279-0.408508029345106i</v>
      </c>
      <c r="K22" s="89" t="str">
        <f t="shared" si="8"/>
        <v>0.890961879862283-1.93741132422865i</v>
      </c>
      <c r="L22" s="89" t="str">
        <f t="shared" si="9"/>
        <v>-0.102763824291727-0.190270368507602i</v>
      </c>
      <c r="M22" s="84">
        <f t="shared" si="10"/>
        <v>-13.300956225409964</v>
      </c>
      <c r="N22" s="84">
        <f t="shared" si="11"/>
        <v>61.626798016027905</v>
      </c>
      <c r="O22" s="84">
        <f t="shared" si="12"/>
        <v>61.626798016027905</v>
      </c>
    </row>
    <row r="23" spans="1:18" ht="15" x14ac:dyDescent="0.2">
      <c r="A23" s="85">
        <f t="shared" si="13"/>
        <v>22</v>
      </c>
      <c r="B23" s="84">
        <f t="shared" si="14"/>
        <v>11000</v>
      </c>
      <c r="C23" s="84">
        <f t="shared" si="0"/>
        <v>359.4445390070922</v>
      </c>
      <c r="D23" s="58" t="str">
        <f t="shared" si="1"/>
        <v>0.000234327905909918-0.000109336665050069i</v>
      </c>
      <c r="E23" s="58" t="str">
        <f t="shared" si="2"/>
        <v>0.95558501521352-0.521400553935948i</v>
      </c>
      <c r="F23" s="84" t="str">
        <f t="shared" si="3"/>
        <v>0.000166912037811266-0.000226659178679348i</v>
      </c>
      <c r="G23" s="84" t="str">
        <f t="shared" si="4"/>
        <v>0.0599956204858048-0.0814714039921244i</v>
      </c>
      <c r="H23" s="87">
        <f t="shared" si="5"/>
        <v>0.10117837785774519</v>
      </c>
      <c r="I23" s="58" t="str">
        <f t="shared" si="6"/>
        <v>4.62962962962964-0.208187734757436i</v>
      </c>
      <c r="J23" s="89" t="str">
        <f t="shared" si="7"/>
        <v>0.196582349292525-0.397413801017475i</v>
      </c>
      <c r="K23" s="89" t="str">
        <f t="shared" si="8"/>
        <v>0.827366789951707-1.88080474240675i</v>
      </c>
      <c r="L23" s="89" t="str">
        <f t="shared" si="9"/>
        <v>-0.103593419066423-0.18024678152716i</v>
      </c>
      <c r="M23" s="84">
        <f t="shared" si="10"/>
        <v>-13.643102260653064</v>
      </c>
      <c r="N23" s="84">
        <f t="shared" si="11"/>
        <v>60.112681008190123</v>
      </c>
      <c r="O23" s="84">
        <f t="shared" si="12"/>
        <v>60.112681008190123</v>
      </c>
    </row>
    <row r="24" spans="1:18" ht="15" x14ac:dyDescent="0.2">
      <c r="A24" s="85">
        <f t="shared" si="13"/>
        <v>23</v>
      </c>
      <c r="B24" s="84">
        <f t="shared" si="14"/>
        <v>11500</v>
      </c>
      <c r="C24" s="84">
        <f t="shared" si="0"/>
        <v>359.4445390070922</v>
      </c>
      <c r="D24" s="58" t="str">
        <f t="shared" si="1"/>
        <v>0.000234326888747601-0.000104582897110817i</v>
      </c>
      <c r="E24" s="58" t="str">
        <f t="shared" si="2"/>
        <v>0.946260289080358-0.552105191497926i</v>
      </c>
      <c r="F24" s="84" t="str">
        <f t="shared" si="3"/>
        <v>0.00016399346904883-0.00022833573423805i</v>
      </c>
      <c r="G24" s="84" t="str">
        <f t="shared" si="4"/>
        <v>0.0589465568824305-0.0820740327320418i</v>
      </c>
      <c r="H24" s="87">
        <f t="shared" si="5"/>
        <v>0.10104871803834961</v>
      </c>
      <c r="I24" s="58" t="str">
        <f t="shared" si="6"/>
        <v>4.62962962962964-0.199136094115809i</v>
      </c>
      <c r="J24" s="89" t="str">
        <f t="shared" si="7"/>
        <v>0.182918702321393-0.386599858590831i</v>
      </c>
      <c r="K24" s="89" t="str">
        <f t="shared" si="8"/>
        <v>0.769859858255023-1.82623987606376i</v>
      </c>
      <c r="L24" s="89" t="str">
        <f t="shared" si="9"/>
        <v>-0.104506283438487-0.170836055940863i</v>
      </c>
      <c r="M24" s="84">
        <f t="shared" si="10"/>
        <v>-13.967850057106357</v>
      </c>
      <c r="N24" s="84">
        <f t="shared" si="11"/>
        <v>58.544442312115393</v>
      </c>
      <c r="O24" s="84">
        <f t="shared" si="12"/>
        <v>58.544442312115393</v>
      </c>
    </row>
    <row r="25" spans="1:18" ht="15" x14ac:dyDescent="0.2">
      <c r="A25" s="85">
        <f t="shared" si="13"/>
        <v>24</v>
      </c>
      <c r="B25" s="84">
        <f t="shared" si="14"/>
        <v>12000</v>
      </c>
      <c r="C25" s="84">
        <f t="shared" si="0"/>
        <v>359.4445390070922</v>
      </c>
      <c r="D25" s="58" t="str">
        <f t="shared" si="1"/>
        <v>0.000234325996062091-0.000100225276487356i</v>
      </c>
      <c r="E25" s="58" t="str">
        <f t="shared" si="2"/>
        <v>0.935474435292397-0.583455988747857i</v>
      </c>
      <c r="F25" s="84" t="str">
        <f t="shared" si="3"/>
        <v>0.000160728941050055-0.000230477089645767i</v>
      </c>
      <c r="G25" s="84" t="str">
        <f t="shared" si="4"/>
        <v>0.0577731401208351-0.082843731239419i</v>
      </c>
      <c r="H25" s="87">
        <f t="shared" si="5"/>
        <v>0.10099910655590343</v>
      </c>
      <c r="I25" s="58" t="str">
        <f t="shared" si="6"/>
        <v>4.62962962962964-0.190838756860983i</v>
      </c>
      <c r="J25" s="89" t="str">
        <f t="shared" si="7"/>
        <v>0.170538442792779-0.37610514796077i</v>
      </c>
      <c r="K25" s="89" t="str">
        <f t="shared" si="8"/>
        <v>0.7177543888585-1.773772881275i</v>
      </c>
      <c r="L25" s="89" t="str">
        <f t="shared" si="9"/>
        <v>-0.105479038976249-0.161937880898945i</v>
      </c>
      <c r="M25" s="84">
        <f t="shared" si="10"/>
        <v>-14.277128248072163</v>
      </c>
      <c r="N25" s="84">
        <f t="shared" si="11"/>
        <v>56.92159157660133</v>
      </c>
      <c r="O25" s="84">
        <f t="shared" si="12"/>
        <v>56.92159157660133</v>
      </c>
      <c r="P25" s="84">
        <v>-9.1029999999999998</v>
      </c>
      <c r="Q25" s="84">
        <v>72.905000000000001</v>
      </c>
      <c r="R25" s="84">
        <f>B25</f>
        <v>12000</v>
      </c>
    </row>
    <row r="26" spans="1:18" ht="15" x14ac:dyDescent="0.2">
      <c r="A26" s="85">
        <f t="shared" si="13"/>
        <v>25</v>
      </c>
      <c r="B26" s="84">
        <f t="shared" si="14"/>
        <v>12500</v>
      </c>
      <c r="C26" s="84">
        <f t="shared" si="0"/>
        <v>359.4445390070922</v>
      </c>
      <c r="D26" s="58" t="str">
        <f t="shared" si="1"/>
        <v>0.000234325208341202-0.0000962162655036719i</v>
      </c>
      <c r="E26" s="58" t="str">
        <f t="shared" si="2"/>
        <v>0.923076923076923-0.615384615384615i</v>
      </c>
      <c r="F26" s="84" t="str">
        <f t="shared" si="3"/>
        <v>0.000157090182774235-0.000233015142521052i</v>
      </c>
      <c r="G26" s="84" t="str">
        <f t="shared" si="4"/>
        <v>0.0564652083298248-0.0837560204851514i</v>
      </c>
      <c r="H26" s="87">
        <f t="shared" si="5"/>
        <v>0.10101183455041106</v>
      </c>
      <c r="I26" s="58" t="str">
        <f t="shared" si="6"/>
        <v>4.62962962962963-0.183205206586544i</v>
      </c>
      <c r="J26" s="89" t="str">
        <f t="shared" si="7"/>
        <v>0.159298078260407-0.365953822938015i</v>
      </c>
      <c r="K26" s="89" t="str">
        <f t="shared" si="8"/>
        <v>0.670446457324945-1.72341489908661i</v>
      </c>
      <c r="L26" s="89" t="str">
        <f t="shared" si="9"/>
        <v>-0.106489474705467-0.153466908529555i</v>
      </c>
      <c r="M26" s="84">
        <f t="shared" si="10"/>
        <v>-14.572728885701626</v>
      </c>
      <c r="N26" s="84">
        <f t="shared" si="11"/>
        <v>55.243524952850308</v>
      </c>
      <c r="O26" s="84">
        <f t="shared" si="12"/>
        <v>55.243524952850308</v>
      </c>
    </row>
    <row r="27" spans="1:18" ht="15" x14ac:dyDescent="0.2">
      <c r="A27" s="85">
        <f t="shared" si="13"/>
        <v>26</v>
      </c>
      <c r="B27" s="84">
        <f t="shared" si="14"/>
        <v>13000</v>
      </c>
      <c r="C27" s="84">
        <f t="shared" si="0"/>
        <v>359.4445390070922</v>
      </c>
      <c r="D27" s="58" t="str">
        <f t="shared" si="1"/>
        <v>0.000234324509751389-0.0000925156399720218i</v>
      </c>
      <c r="E27" s="58" t="str">
        <f t="shared" si="2"/>
        <v>0.908914055000462-0.647800587445505i</v>
      </c>
      <c r="F27" s="84" t="str">
        <f t="shared" si="3"/>
        <v>0.000153049154422358-0.000235884320547763i</v>
      </c>
      <c r="G27" s="84" t="str">
        <f t="shared" si="4"/>
        <v>0.0550126827567697-0.0847873308582918i</v>
      </c>
      <c r="H27" s="87">
        <f t="shared" si="5"/>
        <v>0.10107070168040999</v>
      </c>
      <c r="I27" s="58" t="str">
        <f t="shared" si="6"/>
        <v>4.62962962962963-0.176158852487061i</v>
      </c>
      <c r="J27" s="89" t="str">
        <f t="shared" si="7"/>
        <v>0.149071577693933-0.35615901282682i</v>
      </c>
      <c r="K27" s="89" t="str">
        <f t="shared" si="8"/>
        <v>0.627405630024971-1.67514459670768i</v>
      </c>
      <c r="L27" s="89" t="str">
        <f t="shared" si="9"/>
        <v>-0.107515772272159-0.145350247005679i</v>
      </c>
      <c r="M27" s="84">
        <f t="shared" si="10"/>
        <v>-14.856337646880416</v>
      </c>
      <c r="N27" s="84">
        <f t="shared" si="11"/>
        <v>53.509617604671249</v>
      </c>
      <c r="O27" s="84">
        <f t="shared" si="12"/>
        <v>53.509617604671249</v>
      </c>
    </row>
    <row r="28" spans="1:18" ht="15" x14ac:dyDescent="0.2">
      <c r="A28" s="85">
        <f t="shared" si="13"/>
        <v>27</v>
      </c>
      <c r="B28" s="84">
        <f t="shared" si="14"/>
        <v>13500</v>
      </c>
      <c r="C28" s="84">
        <f t="shared" si="0"/>
        <v>359.4445390070922</v>
      </c>
      <c r="D28" s="58" t="str">
        <f t="shared" si="1"/>
        <v>0.000234323887335845-0.0000890891348433366i</v>
      </c>
      <c r="E28" s="58" t="str">
        <f t="shared" si="2"/>
        <v>0.89283175581238-0.680588859597241i</v>
      </c>
      <c r="F28" s="84" t="str">
        <f t="shared" si="3"/>
        <v>0.000148578735073314-0.000239019835944277i</v>
      </c>
      <c r="G28" s="84" t="str">
        <f t="shared" si="4"/>
        <v>0.0534058149346842-0.0859143747445415i</v>
      </c>
      <c r="H28" s="87">
        <f t="shared" si="5"/>
        <v>0.1011605696730858</v>
      </c>
      <c r="I28" s="58" t="str">
        <f t="shared" si="6"/>
        <v>4.62962962962963-0.169634450543096i</v>
      </c>
      <c r="J28" s="89" t="str">
        <f t="shared" si="7"/>
        <v>0.139748297639485-0.346725699864245i</v>
      </c>
      <c r="K28" s="89" t="str">
        <f t="shared" si="8"/>
        <v>0.588166235856418-1.62891769912999i</v>
      </c>
      <c r="L28" s="89" t="str">
        <f t="shared" si="9"/>
        <v>-0.108535948488093-0.137525611583023i</v>
      </c>
      <c r="M28" s="84">
        <f t="shared" si="10"/>
        <v>-15.129557655010391</v>
      </c>
      <c r="N28" s="84">
        <f t="shared" si="11"/>
        <v>51.719309298257144</v>
      </c>
      <c r="O28" s="84">
        <f t="shared" si="12"/>
        <v>51.719309298257144</v>
      </c>
    </row>
    <row r="29" spans="1:18" ht="15" x14ac:dyDescent="0.2">
      <c r="A29" s="85">
        <f t="shared" si="13"/>
        <v>28</v>
      </c>
      <c r="B29" s="84">
        <f t="shared" si="14"/>
        <v>14000.000000000002</v>
      </c>
      <c r="C29" s="84">
        <f t="shared" si="0"/>
        <v>359.4445390070922</v>
      </c>
      <c r="D29" s="58" t="str">
        <f t="shared" si="1"/>
        <v>0.000234323330409345-0.0000859073800753587i</v>
      </c>
      <c r="E29" s="58" t="str">
        <f t="shared" si="2"/>
        <v>0.874679080449271-0.713607641392179i</v>
      </c>
      <c r="F29" s="84" t="str">
        <f t="shared" si="3"/>
        <v>0.000143653552296498-0.000242356307344694i</v>
      </c>
      <c r="G29" s="84" t="str">
        <f t="shared" si="4"/>
        <v>0.0516354848819459-0.0871136511689747i</v>
      </c>
      <c r="H29" s="87">
        <f t="shared" si="5"/>
        <v>0.10126703076018112</v>
      </c>
      <c r="I29" s="58" t="str">
        <f t="shared" si="6"/>
        <v>4.62962962962964-0.163576077309414i</v>
      </c>
      <c r="J29" s="89" t="str">
        <f t="shared" si="7"/>
        <v>0.131231086261245-0.337652910930646i</v>
      </c>
      <c r="K29" s="89" t="str">
        <f t="shared" si="8"/>
        <v>0.552319386621403-1.58467418728688i</v>
      </c>
      <c r="L29" s="89" t="str">
        <f t="shared" si="9"/>
        <v>-0.109527475029893-0.129939978420461i</v>
      </c>
      <c r="M29" s="84">
        <f t="shared" si="10"/>
        <v>-15.393927993114119</v>
      </c>
      <c r="N29" s="84">
        <f t="shared" si="11"/>
        <v>49.872185696147227</v>
      </c>
      <c r="O29" s="84">
        <f t="shared" si="12"/>
        <v>49.872185696147227</v>
      </c>
    </row>
    <row r="30" spans="1:18" ht="15" x14ac:dyDescent="0.2">
      <c r="A30" s="85">
        <f t="shared" si="13"/>
        <v>29</v>
      </c>
      <c r="B30" s="84">
        <f t="shared" si="14"/>
        <v>14499.999999999998</v>
      </c>
      <c r="C30" s="84">
        <f t="shared" si="0"/>
        <v>359.4445390070922</v>
      </c>
      <c r="D30" s="58" t="str">
        <f t="shared" si="1"/>
        <v>0.000234322830096578-0.0000829450566659919i</v>
      </c>
      <c r="E30" s="58" t="str">
        <f t="shared" si="2"/>
        <v>0.854312480830752-0.74668661675985i</v>
      </c>
      <c r="F30" s="84" t="str">
        <f t="shared" si="3"/>
        <v>0.000138250954556207-0.000245826718367378i</v>
      </c>
      <c r="G30" s="84" t="str">
        <f t="shared" si="4"/>
        <v>0.0496935506277463-0.0883610714591885i</v>
      </c>
      <c r="H30" s="87">
        <f t="shared" si="5"/>
        <v>0.10137617039229783</v>
      </c>
      <c r="I30" s="58" t="str">
        <f t="shared" si="6"/>
        <v>4.62962962962964-0.157935522919434i</v>
      </c>
      <c r="J30" s="89" t="str">
        <f t="shared" si="7"/>
        <v>0.123434582072782-0.328935382744544i</v>
      </c>
      <c r="K30" s="89" t="str">
        <f t="shared" si="8"/>
        <v>0.519505816804639-1.54234369945371i</v>
      </c>
      <c r="L30" s="89" t="str">
        <f t="shared" si="9"/>
        <v>-0.110467053233268-0.122548625316327i</v>
      </c>
      <c r="M30" s="84">
        <f t="shared" si="10"/>
        <v>-15.650937639586322</v>
      </c>
      <c r="N30" s="84">
        <f t="shared" si="11"/>
        <v>47.968056886332903</v>
      </c>
      <c r="O30" s="84">
        <f t="shared" si="12"/>
        <v>47.968056886332903</v>
      </c>
    </row>
    <row r="31" spans="1:18" ht="15" x14ac:dyDescent="0.2">
      <c r="A31" s="85">
        <f t="shared" si="13"/>
        <v>30</v>
      </c>
      <c r="B31" s="84">
        <f t="shared" si="14"/>
        <v>15000</v>
      </c>
      <c r="C31" s="84">
        <f t="shared" si="0"/>
        <v>359.4445390070922</v>
      </c>
      <c r="D31" s="58" t="str">
        <f t="shared" si="1"/>
        <v>0.00023432237897636-0.0000801802214799718i</v>
      </c>
      <c r="E31" s="58" t="str">
        <f t="shared" si="2"/>
        <v>0.831600831600832-0.77962577962578i</v>
      </c>
      <c r="F31" s="84" t="str">
        <f t="shared" si="3"/>
        <v>0.000132352117537536-0.000249361706253896i</v>
      </c>
      <c r="G31" s="84" t="str">
        <f t="shared" si="4"/>
        <v>0.0475732458748921-0.0896317035504536i</v>
      </c>
      <c r="H31" s="87">
        <f t="shared" si="5"/>
        <v>0.10147441058921869</v>
      </c>
      <c r="I31" s="58" t="str">
        <f t="shared" si="6"/>
        <v>4.62962962962964-0.152671005488787i</v>
      </c>
      <c r="J31" s="89" t="str">
        <f t="shared" si="7"/>
        <v>0.116283706595572-0.320564823672166i</v>
      </c>
      <c r="K31" s="89" t="str">
        <f t="shared" si="8"/>
        <v>0.489409539543655-1.50184955629757i</v>
      </c>
      <c r="L31" s="89" t="str">
        <f t="shared" si="9"/>
        <v>-0.111330533849216-0.115314468971983i</v>
      </c>
      <c r="M31" s="84">
        <f t="shared" si="10"/>
        <v>-15.902035315796198</v>
      </c>
      <c r="N31" s="84">
        <f t="shared" si="11"/>
        <v>46.007033732364079</v>
      </c>
      <c r="O31" s="84">
        <f t="shared" si="12"/>
        <v>46.007033732364079</v>
      </c>
    </row>
    <row r="32" spans="1:18" ht="15" x14ac:dyDescent="0.2">
      <c r="A32" s="85">
        <f t="shared" si="13"/>
        <v>31</v>
      </c>
      <c r="B32" s="84">
        <f t="shared" si="14"/>
        <v>15500</v>
      </c>
      <c r="C32" s="84">
        <f t="shared" si="0"/>
        <v>359.4445390070922</v>
      </c>
      <c r="D32" s="58" t="str">
        <f t="shared" si="1"/>
        <v>0.000234321970804816-0.0000775937627542325i</v>
      </c>
      <c r="E32" s="58" t="str">
        <f t="shared" si="2"/>
        <v>0.80643116012275-0.812195125529735i</v>
      </c>
      <c r="F32" s="84" t="str">
        <f t="shared" si="3"/>
        <v>0.000125943262877879-0.000252889190608378i</v>
      </c>
      <c r="G32" s="84" t="str">
        <f t="shared" si="4"/>
        <v>0.0452696180661882-0.0908996385381051i</v>
      </c>
      <c r="H32" s="87">
        <f t="shared" si="5"/>
        <v>0.10154842493222981</v>
      </c>
      <c r="I32" s="58" t="str">
        <f t="shared" si="6"/>
        <v>4.62962962962963-0.147746134343987i</v>
      </c>
      <c r="J32" s="89" t="str">
        <f t="shared" si="7"/>
        <v>0.109712340426495-0.31253086693099i</v>
      </c>
      <c r="K32" s="89" t="str">
        <f t="shared" si="8"/>
        <v>0.461752274522285-1.46311173590539i</v>
      </c>
      <c r="L32" s="89" t="str">
        <f t="shared" si="9"/>
        <v>-0.112092978825842-0.108207624320818i</v>
      </c>
      <c r="M32" s="84">
        <f t="shared" si="10"/>
        <v>-16.148635570986961</v>
      </c>
      <c r="N32" s="84">
        <f t="shared" si="11"/>
        <v>43.989601776901765</v>
      </c>
      <c r="O32" s="84">
        <f t="shared" si="12"/>
        <v>43.989601776901765</v>
      </c>
    </row>
    <row r="33" spans="1:18" ht="15" x14ac:dyDescent="0.2">
      <c r="A33" s="85">
        <f t="shared" si="13"/>
        <v>32</v>
      </c>
      <c r="B33" s="84">
        <f t="shared" si="14"/>
        <v>16000</v>
      </c>
      <c r="C33" s="84">
        <f t="shared" si="0"/>
        <v>359.4445390070922</v>
      </c>
      <c r="D33" s="58" t="str">
        <f t="shared" si="1"/>
        <v>0.00023432160029818-0.0000751689576960201i</v>
      </c>
      <c r="E33" s="58" t="str">
        <f t="shared" si="2"/>
        <v>0.778714955716654-0.844135453351387i</v>
      </c>
      <c r="F33" s="84" t="str">
        <f t="shared" si="3"/>
        <v>0.000119016952416972-0.00025633436186125i</v>
      </c>
      <c r="G33" s="84" t="str">
        <f t="shared" si="4"/>
        <v>0.0427799935955475-0.0921379865308942i</v>
      </c>
      <c r="H33" s="87">
        <f t="shared" si="5"/>
        <v>0.10158511905787347</v>
      </c>
      <c r="I33" s="58" t="str">
        <f t="shared" si="6"/>
        <v>4.62962962962963-0.143129067645737i</v>
      </c>
      <c r="J33" s="89" t="str">
        <f t="shared" si="7"/>
        <v>0.103662167330397-0.304821787926588i</v>
      </c>
      <c r="K33" s="89" t="str">
        <f t="shared" si="8"/>
        <v>0.436288583040391-1.42604905050175i</v>
      </c>
      <c r="L33" s="89" t="str">
        <f t="shared" si="9"/>
        <v>-0.112728865419246-0.10120512083516i</v>
      </c>
      <c r="M33" s="84">
        <f t="shared" si="10"/>
        <v>-16.392121330273014</v>
      </c>
      <c r="N33" s="84">
        <f t="shared" si="11"/>
        <v>41.916691643977998</v>
      </c>
      <c r="O33" s="84">
        <f t="shared" si="12"/>
        <v>41.916691643977998</v>
      </c>
    </row>
    <row r="34" spans="1:18" ht="15" x14ac:dyDescent="0.2">
      <c r="A34" s="85">
        <f t="shared" si="13"/>
        <v>33</v>
      </c>
      <c r="B34" s="84">
        <f t="shared" si="14"/>
        <v>16500</v>
      </c>
      <c r="C34" s="84">
        <f t="shared" ref="C34:C65" si="15">_ta1*_ta2*(rload/RS)</f>
        <v>359.4445390070922</v>
      </c>
      <c r="D34" s="58" t="str">
        <f t="shared" ref="D34:D65" si="16">IMDIV((COMPLEX(1,2*PI()*(B34)*(esrcout*0.001)*(cout*0.000001))),(COMPLEX(1,2*PI()*(B34)*rload*(cout*0.000001))))</f>
        <v>0.000234321262960922-0.0000728911105177046i</v>
      </c>
      <c r="E34" s="58" t="str">
        <f t="shared" ref="E34:E65" si="17">IMDIV(1,(COMPLEX((1-(B34/(fpp*1000))^2),(B34/(fpp*1000)))))</f>
        <v>0.748394849515882-0.875160525656418i</v>
      </c>
      <c r="F34" s="84" t="str">
        <f t="shared" ref="F34:F65" si="18">IMPRODUCT(D34,E34)</f>
        <v>0.000111573403735656-0.000259620051352299i</v>
      </c>
      <c r="G34" s="84" t="str">
        <f t="shared" ref="G34:G65" si="19">IMPRODUCT(C34,F34)</f>
        <v>0.040104450671215-0.0933190096753247i</v>
      </c>
      <c r="H34" s="87">
        <f t="shared" ref="H34:H65" si="20">IMABS(G34)</f>
        <v>0.10157167188947548</v>
      </c>
      <c r="I34" s="58" t="str">
        <f t="shared" ref="I34:I65" si="21">IMDIV((COMPLEX(1,(2*PI()*B34*(rf*1000)*(Cz*0.000000001)))),(COMPLEX(0,2*PI()*B34*((Cz*0.000000001)+(Cp*0.000000000001))*(RII*1000))))</f>
        <v>4.62962962962963-0.138791823171624i</v>
      </c>
      <c r="J34" s="89" t="str">
        <f t="shared" ref="J34:J65" si="22">IMDIV(1,(COMPLEX(1,2*PI()*B34*(((Cz*0.000000001)*(Cp*0.000000000001))/((Cz*0.000000001)+(Cp*0.000000000001)))*(rf*1000))))</f>
        <v>0.0980816690926594-0.297425041448526i</v>
      </c>
      <c r="K34" s="89" t="str">
        <f t="shared" ref="K34:K65" si="23">IMPRODUCT(I34,J34)</f>
        <v>0.412801637595368-1.390580718157i</v>
      </c>
      <c r="L34" s="89" t="str">
        <f t="shared" ref="L34:L65" si="24">IMPRODUCT(G34,K34)</f>
        <v>-0.113212432580073-0.0942907158284222i</v>
      </c>
      <c r="M34" s="84">
        <f t="shared" ref="M34:M65" si="25">20*LOG(IMABS(L34))</f>
        <v>-16.633843087457315</v>
      </c>
      <c r="N34" s="84">
        <f t="shared" ref="N34:N65" si="26">(180/PI())*IMARGUMENT(L34)+180</f>
        <v>39.789744165663109</v>
      </c>
      <c r="O34" s="84">
        <f t="shared" si="12"/>
        <v>39.789744165663109</v>
      </c>
    </row>
    <row r="35" spans="1:18" ht="15" x14ac:dyDescent="0.2">
      <c r="A35" s="85">
        <f t="shared" si="13"/>
        <v>34</v>
      </c>
      <c r="B35" s="84">
        <f t="shared" si="14"/>
        <v>17000</v>
      </c>
      <c r="C35" s="84">
        <f t="shared" si="15"/>
        <v>359.4445390070922</v>
      </c>
      <c r="D35" s="58" t="str">
        <f t="shared" si="16"/>
        <v>0.000234320954948753-0.0000707472543478037i</v>
      </c>
      <c r="E35" s="58" t="str">
        <f t="shared" si="17"/>
        <v>0.715451364638305-0.904960803485952i</v>
      </c>
      <c r="F35" s="84" t="str">
        <f t="shared" si="18"/>
        <v>0.000103621754842423-0.000262667499331569i</v>
      </c>
      <c r="G35" s="84" t="str">
        <f t="shared" si="19"/>
        <v>0.0372462739004407-0.0944143982093815i</v>
      </c>
      <c r="H35" s="87">
        <f t="shared" si="20"/>
        <v>0.10149563295386807</v>
      </c>
      <c r="I35" s="58" t="str">
        <f t="shared" si="21"/>
        <v>4.62962962962962-0.1347097107254i</v>
      </c>
      <c r="J35" s="89" t="str">
        <f t="shared" si="22"/>
        <v>0.0929252537449073-0.29032766137823i</v>
      </c>
      <c r="K35" s="89" t="str">
        <f t="shared" si="23"/>
        <v>0.39109955279843-1.35662747746879i</v>
      </c>
      <c r="L35" s="89" t="str">
        <f t="shared" si="24"/>
        <v>-0.113518165813657-0.0874547475240885i</v>
      </c>
      <c r="M35" s="84">
        <f t="shared" si="25"/>
        <v>-16.875114930147848</v>
      </c>
      <c r="N35" s="84">
        <f t="shared" si="26"/>
        <v>37.610767832024294</v>
      </c>
      <c r="O35" s="84">
        <f t="shared" si="12"/>
        <v>37.610767832024294</v>
      </c>
    </row>
    <row r="36" spans="1:18" ht="15" x14ac:dyDescent="0.2">
      <c r="A36" s="85">
        <f t="shared" si="13"/>
        <v>35</v>
      </c>
      <c r="B36" s="84">
        <f t="shared" ref="B36:B67" si="27">(fs*1000/2)*(A36/100)</f>
        <v>17500</v>
      </c>
      <c r="C36" s="84">
        <f t="shared" si="15"/>
        <v>359.4445390070922</v>
      </c>
      <c r="D36" s="58" t="str">
        <f t="shared" si="16"/>
        <v>0.000234320672958592-0.0000687259042429654i</v>
      </c>
      <c r="E36" s="58" t="str">
        <f t="shared" si="17"/>
        <v>0.679909345420611-0.933208905479269i</v>
      </c>
      <c r="F36" s="84" t="str">
        <f t="shared" si="18"/>
        <v>0.0000951811894931426-0.000265397523310128i</v>
      </c>
      <c r="G36" s="84" t="str">
        <f t="shared" si="19"/>
        <v>0.0342123587795093-0.095395690419833i</v>
      </c>
      <c r="H36" s="87">
        <f t="shared" si="20"/>
        <v>0.10134507015111534</v>
      </c>
      <c r="I36" s="58" t="str">
        <f t="shared" si="21"/>
        <v>4.62962962962964-0.130860861847531i</v>
      </c>
      <c r="J36" s="89" t="str">
        <f t="shared" si="22"/>
        <v>0.0881525006366668-0.28351655554512i</v>
      </c>
      <c r="K36" s="89" t="str">
        <f t="shared" si="23"/>
        <v>0.371012208066781-1.32411235824955i</v>
      </c>
      <c r="L36" s="89" t="str">
        <f t="shared" si="24"/>
        <v>-0.11362140983469-0.0806939728075331i</v>
      </c>
      <c r="M36" s="84">
        <f t="shared" si="25"/>
        <v>-17.117207635182719</v>
      </c>
      <c r="N36" s="84">
        <f t="shared" si="26"/>
        <v>35.382385674074982</v>
      </c>
      <c r="O36" s="84">
        <f t="shared" si="12"/>
        <v>35.382385674074982</v>
      </c>
    </row>
    <row r="37" spans="1:18" ht="15" x14ac:dyDescent="0.2">
      <c r="A37" s="85">
        <f t="shared" si="13"/>
        <v>36</v>
      </c>
      <c r="B37" s="84">
        <f t="shared" si="27"/>
        <v>18000</v>
      </c>
      <c r="C37" s="84">
        <f t="shared" si="15"/>
        <v>359.4445390070922</v>
      </c>
      <c r="D37" s="58" t="str">
        <f t="shared" si="16"/>
        <v>0.000234320414139655-0.0000668168513646247i</v>
      </c>
      <c r="E37" s="58" t="str">
        <f t="shared" si="17"/>
        <v>0.641843596575924-0.959566838734771i</v>
      </c>
      <c r="F37" s="84" t="str">
        <f t="shared" si="18"/>
        <v>0.0000862818225243922-0.000267732067238761i</v>
      </c>
      <c r="G37" s="84" t="str">
        <f t="shared" si="19"/>
        <v>0.0310135299219719-0.0962348294860523i</v>
      </c>
      <c r="H37" s="87">
        <f t="shared" si="20"/>
        <v>0.10110876047321819</v>
      </c>
      <c r="I37" s="58" t="str">
        <f t="shared" si="21"/>
        <v>4.62962962962964-0.127225837907322i</v>
      </c>
      <c r="J37" s="89" t="str">
        <f t="shared" si="22"/>
        <v>0.0837275071822224-0.27697872070481i</v>
      </c>
      <c r="K37" s="89" t="str">
        <f t="shared" si="23"/>
        <v>0.352388498241678-1.29296119440905i</v>
      </c>
      <c r="L37" s="89" t="str">
        <f t="shared" si="24"/>
        <v>-0.11349908884166-0.0740113377318875i</v>
      </c>
      <c r="M37" s="84">
        <f t="shared" si="25"/>
        <v>-17.36133916116848</v>
      </c>
      <c r="N37" s="84">
        <f t="shared" si="26"/>
        <v>33.10786839697937</v>
      </c>
      <c r="O37" s="84">
        <f t="shared" si="12"/>
        <v>33.10786839697937</v>
      </c>
    </row>
    <row r="38" spans="1:18" ht="15" x14ac:dyDescent="0.2">
      <c r="A38" s="85">
        <f t="shared" si="13"/>
        <v>37</v>
      </c>
      <c r="B38" s="84">
        <f t="shared" si="27"/>
        <v>18500</v>
      </c>
      <c r="C38" s="84">
        <f t="shared" si="15"/>
        <v>359.4445390070922</v>
      </c>
      <c r="D38" s="58" t="str">
        <f t="shared" si="16"/>
        <v>0.000234320176021122-0.0000650109905324162i</v>
      </c>
      <c r="E38" s="58" t="str">
        <f t="shared" si="17"/>
        <v>0.601383213294196-0.983694911223927i</v>
      </c>
      <c r="F38" s="84" t="str">
        <f t="shared" si="18"/>
        <v>0.0000769652398348792-0.000269596083134896i</v>
      </c>
      <c r="G38" s="84" t="str">
        <f t="shared" si="19"/>
        <v>0.0276647351520184-0.0969048398205404i</v>
      </c>
      <c r="H38" s="87">
        <f t="shared" si="20"/>
        <v>0.10077641366746444</v>
      </c>
      <c r="I38" s="58" t="str">
        <f t="shared" si="21"/>
        <v>4.62962962962963-0.123787301747665i</v>
      </c>
      <c r="J38" s="89" t="str">
        <f t="shared" si="22"/>
        <v>0.079618323669204-0.270701396755373i</v>
      </c>
      <c r="K38" s="89" t="str">
        <f t="shared" si="23"/>
        <v>0.335093954836717-1.26310294465748i</v>
      </c>
      <c r="L38" s="89" t="str">
        <f t="shared" si="24"/>
        <v>-0.113130503017286-0.0674156344519672i</v>
      </c>
      <c r="M38" s="84">
        <f t="shared" si="25"/>
        <v>-17.608662982695328</v>
      </c>
      <c r="N38" s="84">
        <f t="shared" si="26"/>
        <v>30.791150549276153</v>
      </c>
      <c r="O38" s="84">
        <f t="shared" si="12"/>
        <v>30.791150549276153</v>
      </c>
    </row>
    <row r="39" spans="1:18" ht="15" x14ac:dyDescent="0.2">
      <c r="A39" s="85">
        <f t="shared" si="13"/>
        <v>38</v>
      </c>
      <c r="B39" s="84">
        <f t="shared" si="27"/>
        <v>19000</v>
      </c>
      <c r="C39" s="84">
        <f t="shared" si="15"/>
        <v>359.4445390070922</v>
      </c>
      <c r="D39" s="58" t="str">
        <f t="shared" si="16"/>
        <v>0.000234319956452939-0.0000633001750059916i</v>
      </c>
      <c r="E39" s="58" t="str">
        <f t="shared" si="17"/>
        <v>0.558714077224444-1.00526207076368i</v>
      </c>
      <c r="F39" s="84" t="str">
        <f t="shared" si="18"/>
        <v>0.0000672845932386492-0.000270919663511755i</v>
      </c>
      <c r="G39" s="84" t="str">
        <f t="shared" si="19"/>
        <v>0.024185079598946-0.0973805935589393i</v>
      </c>
      <c r="H39" s="87">
        <f t="shared" si="20"/>
        <v>0.10033891606499785</v>
      </c>
      <c r="I39" s="58" t="str">
        <f t="shared" si="21"/>
        <v>4.62962962962963-0.120529741175358i</v>
      </c>
      <c r="J39" s="89" t="str">
        <f t="shared" si="22"/>
        <v>0.0757964640990382-0.264672174829772i</v>
      </c>
      <c r="K39" s="89" t="str">
        <f t="shared" si="23"/>
        <v>0.319008687285514-1.23446987093029i</v>
      </c>
      <c r="L39" s="89" t="str">
        <f t="shared" si="24"/>
        <v>-0.112498158267063-0.0609210074092711i</v>
      </c>
      <c r="M39" s="84">
        <f t="shared" si="25"/>
        <v>-17.860254844342084</v>
      </c>
      <c r="N39" s="84">
        <f t="shared" si="26"/>
        <v>28.436826800713959</v>
      </c>
      <c r="O39" s="84">
        <f t="shared" si="12"/>
        <v>28.436826800713959</v>
      </c>
    </row>
    <row r="40" spans="1:18" ht="15" x14ac:dyDescent="0.2">
      <c r="A40" s="85">
        <f t="shared" si="13"/>
        <v>39</v>
      </c>
      <c r="B40" s="84">
        <f t="shared" si="27"/>
        <v>19500</v>
      </c>
      <c r="C40" s="84">
        <f t="shared" si="15"/>
        <v>359.4445390070922</v>
      </c>
      <c r="D40" s="58" t="str">
        <f t="shared" si="16"/>
        <v>0.000234319753557114-0.0000616770936080982i</v>
      </c>
      <c r="E40" s="58" t="str">
        <f t="shared" si="17"/>
        <v>0.514079044457808-1.02395723870554i</v>
      </c>
      <c r="F40" s="84" t="str">
        <f t="shared" si="18"/>
        <v>0.0000573041685438989-0.000271640309173491i</v>
      </c>
      <c r="G40" s="84" t="str">
        <f t="shared" si="19"/>
        <v>0.0205976704454465-0.0976396257066095i</v>
      </c>
      <c r="H40" s="87">
        <f t="shared" si="20"/>
        <v>9.9788579185726561E-2</v>
      </c>
      <c r="I40" s="58" t="str">
        <f t="shared" si="21"/>
        <v>4.62962962962962-0.117439234991374i</v>
      </c>
      <c r="J40" s="89" t="str">
        <f t="shared" si="22"/>
        <v>0.0722364825414807-0.258879070477926i</v>
      </c>
      <c r="K40" s="89" t="str">
        <f t="shared" si="23"/>
        <v>0.304025599922056-1.20699761242372i</v>
      </c>
      <c r="L40" s="89" t="str">
        <f t="shared" si="24"/>
        <v>-0.11158857599165-0.0545462848307615i</v>
      </c>
      <c r="M40" s="84">
        <f t="shared" si="25"/>
        <v>-18.11709864495414</v>
      </c>
      <c r="N40" s="84">
        <f t="shared" si="26"/>
        <v>26.05012604250993</v>
      </c>
      <c r="O40" s="84">
        <f t="shared" si="12"/>
        <v>26.05012604250993</v>
      </c>
    </row>
    <row r="41" spans="1:18" ht="15" x14ac:dyDescent="0.2">
      <c r="A41" s="85">
        <f t="shared" si="13"/>
        <v>40</v>
      </c>
      <c r="B41" s="84">
        <f t="shared" si="27"/>
        <v>20000</v>
      </c>
      <c r="C41" s="84">
        <f t="shared" si="15"/>
        <v>359.4445390070922</v>
      </c>
      <c r="D41" s="58" t="str">
        <f t="shared" si="16"/>
        <v>0.00023431956568744-0.0000601351662791961i</v>
      </c>
      <c r="E41" s="58" t="str">
        <f t="shared" si="17"/>
        <v>0.467775467775468-1.03950103950104i</v>
      </c>
      <c r="F41" s="84" t="str">
        <f t="shared" si="18"/>
        <v>0.0000470983765905945-0.000271705187643533i</v>
      </c>
      <c r="G41" s="84" t="str">
        <f t="shared" si="19"/>
        <v>0.0169292542615887-0.0976629459183652i</v>
      </c>
      <c r="H41" s="87">
        <f t="shared" si="20"/>
        <v>9.9119375781463862E-2</v>
      </c>
      <c r="I41" s="58" t="str">
        <f t="shared" si="21"/>
        <v>4.62962962962962-0.11450325411659i</v>
      </c>
      <c r="J41" s="89" t="str">
        <f t="shared" si="22"/>
        <v>0.0689156058759293-0.253310570530886i</v>
      </c>
      <c r="K41" s="89" t="str">
        <f t="shared" si="23"/>
        <v>0.290048846279163-1.18062518396038i</v>
      </c>
      <c r="L41" s="89" t="str">
        <f t="shared" si="24"/>
        <v>-0.110393022824042-0.0483141287147463i</v>
      </c>
      <c r="M41" s="84">
        <f t="shared" si="25"/>
        <v>-18.380072274025054</v>
      </c>
      <c r="N41" s="84">
        <f t="shared" si="26"/>
        <v>23.636862019542377</v>
      </c>
      <c r="O41" s="84">
        <f t="shared" si="12"/>
        <v>23.636862019542377</v>
      </c>
    </row>
    <row r="42" spans="1:18" ht="15" x14ac:dyDescent="0.2">
      <c r="A42" s="85">
        <f t="shared" si="13"/>
        <v>41</v>
      </c>
      <c r="B42" s="84">
        <f t="shared" si="27"/>
        <v>20500</v>
      </c>
      <c r="C42" s="84">
        <f t="shared" si="15"/>
        <v>359.4445390070922</v>
      </c>
      <c r="D42" s="58" t="str">
        <f t="shared" si="16"/>
        <v>0.000234319391395979-0.0000586684549167607i</v>
      </c>
      <c r="E42" s="58" t="str">
        <f t="shared" si="17"/>
        <v>0.420149875001565-1.05165719627986i</v>
      </c>
      <c r="F42" s="84" t="str">
        <f t="shared" si="18"/>
        <v>0.0000367501601976314-0.00027107321818931i</v>
      </c>
      <c r="G42" s="84" t="str">
        <f t="shared" si="19"/>
        <v>0.0132096443906744-0.0974357879492254i</v>
      </c>
      <c r="H42" s="87">
        <f t="shared" si="20"/>
        <v>9.8327145174740491E-2</v>
      </c>
      <c r="I42" s="58" t="str">
        <f t="shared" si="21"/>
        <v>4.62962962962964-0.111710491821063i</v>
      </c>
      <c r="J42" s="89" t="str">
        <f t="shared" si="22"/>
        <v>0.0658134150402381-0.247955660231783i</v>
      </c>
      <c r="K42" s="89" t="str">
        <f t="shared" si="23"/>
        <v>0.27699248754309-1.15529492040601i</v>
      </c>
      <c r="L42" s="89" t="str">
        <f t="shared" si="24"/>
        <v>-0.108908098624165-0.0422500163446929i</v>
      </c>
      <c r="M42" s="84">
        <f t="shared" si="25"/>
        <v>-18.64993429182476</v>
      </c>
      <c r="N42" s="84">
        <f t="shared" si="26"/>
        <v>21.203360506859156</v>
      </c>
      <c r="O42" s="84">
        <f t="shared" si="12"/>
        <v>21.203360506859156</v>
      </c>
    </row>
    <row r="43" spans="1:18" ht="15" x14ac:dyDescent="0.2">
      <c r="A43" s="85">
        <f t="shared" si="13"/>
        <v>42</v>
      </c>
      <c r="B43" s="84">
        <f t="shared" si="27"/>
        <v>21000</v>
      </c>
      <c r="C43" s="84">
        <f t="shared" si="15"/>
        <v>359.4445390070922</v>
      </c>
      <c r="D43" s="58" t="str">
        <f t="shared" si="16"/>
        <v>0.000234319229405091-0.0000572715869518318i</v>
      </c>
      <c r="E43" s="58" t="str">
        <f t="shared" si="17"/>
        <v>0.371589855273829-1.06024279358022i</v>
      </c>
      <c r="F43" s="84" t="str">
        <f t="shared" si="18"/>
        <v>0.0000263488611999303-0.000269716815080752i</v>
      </c>
      <c r="G43" s="84" t="str">
        <f t="shared" si="19"/>
        <v>0.0094709542673708-0.096948236259162i</v>
      </c>
      <c r="H43" s="87">
        <f t="shared" si="20"/>
        <v>9.7409750479594825E-2</v>
      </c>
      <c r="I43" s="58" t="str">
        <f t="shared" si="21"/>
        <v>4.62962962962964-0.109050718206276i</v>
      </c>
      <c r="J43" s="89" t="str">
        <f t="shared" si="22"/>
        <v>0.0629115680096082-0.242803835678477i</v>
      </c>
      <c r="K43" s="89" t="str">
        <f t="shared" si="23"/>
        <v>0.264779326639766-1.13095238351973i</v>
      </c>
      <c r="L43" s="89" t="str">
        <f t="shared" si="24"/>
        <v>-0.107136125981783-0.0363810870185032i</v>
      </c>
      <c r="M43" s="84">
        <f t="shared" si="25"/>
        <v>-18.927312355064981</v>
      </c>
      <c r="N43" s="84">
        <f t="shared" si="26"/>
        <v>18.756364553577924</v>
      </c>
      <c r="O43" s="84">
        <f t="shared" si="12"/>
        <v>18.756364553577924</v>
      </c>
    </row>
    <row r="44" spans="1:18" ht="15" x14ac:dyDescent="0.2">
      <c r="A44" s="85">
        <f t="shared" si="13"/>
        <v>43</v>
      </c>
      <c r="B44" s="84">
        <f t="shared" si="27"/>
        <v>21500</v>
      </c>
      <c r="C44" s="84">
        <f t="shared" si="15"/>
        <v>359.4445390070922</v>
      </c>
      <c r="D44" s="58" t="str">
        <f t="shared" si="16"/>
        <v>0.000234319078583948-0.0000559396895892977i</v>
      </c>
      <c r="E44" s="58" t="str">
        <f t="shared" si="17"/>
        <v>0.322513460849838-1.0651366218543i</v>
      </c>
      <c r="F44" s="84" t="str">
        <f t="shared" si="18"/>
        <v>0.0000159876449805315-0.000267623134687229i</v>
      </c>
      <c r="G44" s="84" t="str">
        <f t="shared" si="19"/>
        <v>0.0057466716798362-0.096195674275284i</v>
      </c>
      <c r="H44" s="87">
        <f t="shared" si="20"/>
        <v>9.6367172754379213E-2</v>
      </c>
      <c r="I44" s="58" t="str">
        <f t="shared" si="21"/>
        <v>4.62962962962963-0.106514654992177i</v>
      </c>
      <c r="J44" s="89" t="str">
        <f t="shared" si="22"/>
        <v>0.0601935586899168-0.237845105440832i</v>
      </c>
      <c r="K44" s="89" t="str">
        <f t="shared" si="23"/>
        <v>0.253339893476081-1.10754624354787i</v>
      </c>
      <c r="L44" s="89" t="str">
        <f t="shared" si="24"/>
        <v>-0.105085296497934-0.0307349065056657i</v>
      </c>
      <c r="M44" s="84">
        <f t="shared" si="25"/>
        <v>-19.212694228115829</v>
      </c>
      <c r="N44" s="84">
        <f t="shared" si="26"/>
        <v>16.302920889692132</v>
      </c>
      <c r="O44" s="84">
        <f t="shared" si="12"/>
        <v>16.302920889692132</v>
      </c>
    </row>
    <row r="45" spans="1:18" ht="15" x14ac:dyDescent="0.2">
      <c r="A45" s="85">
        <f t="shared" si="13"/>
        <v>44</v>
      </c>
      <c r="B45" s="84">
        <f t="shared" si="27"/>
        <v>22000</v>
      </c>
      <c r="C45" s="84">
        <f t="shared" si="15"/>
        <v>359.4445390070922</v>
      </c>
      <c r="D45" s="58" t="str">
        <f t="shared" si="16"/>
        <v>0.000234318937928754-0.000054668333015414i</v>
      </c>
      <c r="E45" s="58" t="str">
        <f t="shared" si="17"/>
        <v>0.27335668044953-1.0662849237393i</v>
      </c>
      <c r="F45" s="84" t="str">
        <f t="shared" si="18"/>
        <v>5.76062773836829E-06-0.000264794704898838i</v>
      </c>
      <c r="G45" s="84" t="str">
        <f t="shared" si="19"/>
        <v>0.00207062618180926-0.0951790106338818i</v>
      </c>
      <c r="H45" s="87">
        <f t="shared" si="20"/>
        <v>9.5201531279855894E-2</v>
      </c>
      <c r="I45" s="58" t="str">
        <f t="shared" si="21"/>
        <v>4.62962962962963-0.104093867378718i</v>
      </c>
      <c r="J45" s="89" t="str">
        <f t="shared" si="22"/>
        <v>0.0576445067425803-0.233069984307257i</v>
      </c>
      <c r="K45" s="89" t="str">
        <f t="shared" si="23"/>
        <v>0.242611560364395-1.08502814476616i</v>
      </c>
      <c r="L45" s="89" t="str">
        <f t="shared" si="24"/>
        <v>-0.102769547479859-0.0253382159683781i</v>
      </c>
      <c r="M45" s="84">
        <f t="shared" si="25"/>
        <v>-19.506422082748614</v>
      </c>
      <c r="N45" s="84">
        <f t="shared" si="26"/>
        <v>13.850252049312957</v>
      </c>
      <c r="O45" s="84">
        <f t="shared" si="12"/>
        <v>13.850252049312957</v>
      </c>
      <c r="P45" s="84">
        <v>-13.846</v>
      </c>
      <c r="Q45" s="84">
        <v>23.129000000000001</v>
      </c>
      <c r="R45" s="84">
        <f>B45</f>
        <v>22000</v>
      </c>
    </row>
    <row r="46" spans="1:18" ht="15" x14ac:dyDescent="0.2">
      <c r="A46" s="85">
        <f t="shared" si="13"/>
        <v>45</v>
      </c>
      <c r="B46" s="84">
        <f t="shared" si="27"/>
        <v>22500</v>
      </c>
      <c r="C46" s="84">
        <f t="shared" si="15"/>
        <v>359.4445390070922</v>
      </c>
      <c r="D46" s="58" t="str">
        <f t="shared" si="16"/>
        <v>0.000234318806545983-0.0000534534811776516i</v>
      </c>
      <c r="E46" s="58" t="str">
        <f t="shared" si="17"/>
        <v>0.224559744711027-1.06370405389434i</v>
      </c>
      <c r="F46" s="84" t="str">
        <f t="shared" si="18"/>
        <v>-4.24011324447434E-06-0.000261249364513815i</v>
      </c>
      <c r="G46" s="84" t="str">
        <f t="shared" si="19"/>
        <v>-0.00152408555049795-0.093904657393564i</v>
      </c>
      <c r="H46" s="87">
        <f t="shared" si="20"/>
        <v>9.3917024638602506E-2</v>
      </c>
      <c r="I46" s="58" t="str">
        <f t="shared" si="21"/>
        <v>4.62962962962963-0.101780670325858i</v>
      </c>
      <c r="J46" s="89" t="str">
        <f t="shared" si="22"/>
        <v>0.0552509740749487-0.228469481416486i</v>
      </c>
      <c r="K46" s="89" t="str">
        <f t="shared" si="23"/>
        <v>0.23253776967571-1.06335256180938i</v>
      </c>
      <c r="L46" s="89" t="str">
        <f t="shared" si="24"/>
        <v>-0.100208165459986-0.0202157393179224i</v>
      </c>
      <c r="M46" s="84">
        <f t="shared" si="25"/>
        <v>-19.808690584486452</v>
      </c>
      <c r="N46" s="84">
        <f t="shared" si="26"/>
        <v>11.405619927157773</v>
      </c>
      <c r="O46" s="84">
        <f t="shared" si="12"/>
        <v>11.405619927157773</v>
      </c>
    </row>
    <row r="47" spans="1:18" ht="15" x14ac:dyDescent="0.2">
      <c r="A47" s="85">
        <f t="shared" si="13"/>
        <v>46</v>
      </c>
      <c r="B47" s="84">
        <f t="shared" si="27"/>
        <v>23000</v>
      </c>
      <c r="C47" s="84">
        <f t="shared" si="15"/>
        <v>359.4445390070922</v>
      </c>
      <c r="D47" s="58" t="str">
        <f t="shared" si="16"/>
        <v>0.00023431868363817-0.0000522914489845658i</v>
      </c>
      <c r="E47" s="58" t="str">
        <f t="shared" si="17"/>
        <v>0.176553152797926-1.05747982144591i</v>
      </c>
      <c r="F47" s="84" t="str">
        <f t="shared" si="18"/>
        <v>-0.0000139274497795678-0.00025701949991773i</v>
      </c>
      <c r="G47" s="84" t="str">
        <f t="shared" si="19"/>
        <v>-0.00500614576556118-0.0923842556637618i</v>
      </c>
      <c r="H47" s="87">
        <f t="shared" si="20"/>
        <v>9.2519793503732753E-2</v>
      </c>
      <c r="I47" s="58" t="str">
        <f t="shared" si="21"/>
        <v>4.62962962962964-0.0995680470579047i</v>
      </c>
      <c r="J47" s="89" t="str">
        <f t="shared" si="22"/>
        <v>0.0530008043449202-0.224035084492835i</v>
      </c>
      <c r="K47" s="89" t="str">
        <f t="shared" si="23"/>
        <v>0.223067358354042-1.04247665182573i</v>
      </c>
      <c r="L47" s="89" t="str">
        <f t="shared" si="24"/>
        <v>-0.0974251372372296-0.015389121788186i</v>
      </c>
      <c r="M47" s="84">
        <f t="shared" si="25"/>
        <v>-20.119549008891116</v>
      </c>
      <c r="N47" s="84">
        <f t="shared" si="26"/>
        <v>8.9761871999559162</v>
      </c>
      <c r="O47" s="84">
        <f t="shared" si="12"/>
        <v>8.9761871999559162</v>
      </c>
    </row>
    <row r="48" spans="1:18" ht="15" x14ac:dyDescent="0.2">
      <c r="A48" s="85">
        <f t="shared" si="13"/>
        <v>47</v>
      </c>
      <c r="B48" s="84">
        <f t="shared" si="27"/>
        <v>23500</v>
      </c>
      <c r="C48" s="84">
        <f t="shared" si="15"/>
        <v>359.4445390070922</v>
      </c>
      <c r="D48" s="58" t="str">
        <f t="shared" si="16"/>
        <v>0.000234318568491771-0.0000511788649695121i</v>
      </c>
      <c r="E48" s="58" t="str">
        <f t="shared" si="17"/>
        <v>0.129744340337863-1.04776357317518i</v>
      </c>
      <c r="F48" s="84" t="str">
        <f t="shared" si="18"/>
        <v>-0.0000232218423336288-0.000252150628658941i</v>
      </c>
      <c r="G48" s="84" t="str">
        <f t="shared" si="19"/>
        <v>-0.00834696441250658-0.0906341664786615i</v>
      </c>
      <c r="H48" s="87">
        <f t="shared" si="20"/>
        <v>9.1017712277256108E-2</v>
      </c>
      <c r="I48" s="58" t="str">
        <f t="shared" si="21"/>
        <v>4.62962962962964-0.0974495779715661i</v>
      </c>
      <c r="J48" s="89" t="str">
        <f t="shared" si="22"/>
        <v>0.0508829823540648-0.219758741488981i</v>
      </c>
      <c r="K48" s="89" t="str">
        <f t="shared" si="23"/>
        <v>0.214153966136637-1.02236010612385i</v>
      </c>
      <c r="L48" s="89" t="str">
        <f t="shared" si="24"/>
        <v>-0.0944482915937107-0.0108760627963114i</v>
      </c>
      <c r="M48" s="84">
        <f t="shared" si="25"/>
        <v>-20.438907352762563</v>
      </c>
      <c r="N48" s="84">
        <f t="shared" si="26"/>
        <v>6.5688832122640122</v>
      </c>
      <c r="O48" s="84">
        <f t="shared" si="12"/>
        <v>6.5688832122640122</v>
      </c>
    </row>
    <row r="49" spans="1:15" ht="15" x14ac:dyDescent="0.2">
      <c r="A49" s="85">
        <f t="shared" si="13"/>
        <v>48</v>
      </c>
      <c r="B49" s="84">
        <f t="shared" si="27"/>
        <v>24000</v>
      </c>
      <c r="C49" s="84">
        <f t="shared" si="15"/>
        <v>359.4445390070922</v>
      </c>
      <c r="D49" s="58" t="str">
        <f t="shared" si="16"/>
        <v>0.000234318460466789-0.0000501126386213954i</v>
      </c>
      <c r="E49" s="58" t="str">
        <f t="shared" si="17"/>
        <v>0.0845058374562984-1.03476535660774i</v>
      </c>
      <c r="F49" s="84" t="str">
        <f t="shared" si="18"/>
        <v>-0.0000320535446404065-0.000246699435798539i</v>
      </c>
      <c r="G49" s="84" t="str">
        <f t="shared" si="19"/>
        <v>-0.0115214715768142-0.0886747649739156i</v>
      </c>
      <c r="H49" s="87">
        <f t="shared" si="20"/>
        <v>8.9420122178816702E-2</v>
      </c>
      <c r="I49" s="58" t="str">
        <f t="shared" si="21"/>
        <v>4.62962962962964-0.0954193784304917i</v>
      </c>
      <c r="J49" s="89" t="str">
        <f t="shared" si="22"/>
        <v>0.0488875106521722-0.215632840621288i</v>
      </c>
      <c r="K49" s="89" t="str">
        <f t="shared" si="23"/>
        <v>0.205755516212847-1.00296500394097i</v>
      </c>
      <c r="L49" s="89" t="str">
        <f t="shared" si="24"/>
        <v>-0.0913082923333469-0.00668968925681566i</v>
      </c>
      <c r="M49" s="84">
        <f t="shared" si="25"/>
        <v>-20.766546133633611</v>
      </c>
      <c r="N49" s="84">
        <f t="shared" si="26"/>
        <v>4.1902805226749535</v>
      </c>
      <c r="O49" s="84">
        <f t="shared" si="12"/>
        <v>4.1902805226749535</v>
      </c>
    </row>
    <row r="50" spans="1:15" ht="15" x14ac:dyDescent="0.2">
      <c r="A50" s="85">
        <f t="shared" si="13"/>
        <v>49</v>
      </c>
      <c r="B50" s="84">
        <f t="shared" si="27"/>
        <v>24500</v>
      </c>
      <c r="C50" s="84">
        <f t="shared" si="15"/>
        <v>359.4445390070922</v>
      </c>
      <c r="D50" s="58" t="str">
        <f t="shared" si="16"/>
        <v>0.000234318358987856-0.0000490899317157372i</v>
      </c>
      <c r="E50" s="58" t="str">
        <f t="shared" si="17"/>
        <v>0.0411656036515804-1.01874473683204i</v>
      </c>
      <c r="F50" s="84" t="str">
        <f t="shared" si="18"/>
        <v>-0.0000403642528724687-0.000240731411634292i</v>
      </c>
      <c r="G50" s="84" t="str">
        <f t="shared" si="19"/>
        <v>-0.0145087102661102-0.0865295912794146i</v>
      </c>
      <c r="H50" s="87">
        <f t="shared" si="20"/>
        <v>8.7737522420960098E-2</v>
      </c>
      <c r="I50" s="58" t="str">
        <f t="shared" si="21"/>
        <v>4.62962962962963-0.093472044176808i</v>
      </c>
      <c r="J50" s="89" t="str">
        <f t="shared" si="22"/>
        <v>0.0470053010586245-0.211650189536916i</v>
      </c>
      <c r="K50" s="89" t="str">
        <f t="shared" si="23"/>
        <v>0.197833758664245-0.984255670173929i</v>
      </c>
      <c r="L50" s="89" t="str">
        <f t="shared" si="24"/>
        <v>-0.0880375535399115-0.00283819393215781i</v>
      </c>
      <c r="M50" s="84">
        <f t="shared" si="25"/>
        <v>-21.102129335466032</v>
      </c>
      <c r="N50" s="84">
        <f t="shared" si="26"/>
        <v>1.8464873862252205</v>
      </c>
      <c r="O50" s="84">
        <f t="shared" si="12"/>
        <v>1.8464873862252205</v>
      </c>
    </row>
    <row r="51" spans="1:15" ht="15" x14ac:dyDescent="0.2">
      <c r="A51" s="85">
        <f t="shared" si="13"/>
        <v>50</v>
      </c>
      <c r="B51" s="84">
        <f t="shared" si="27"/>
        <v>25000</v>
      </c>
      <c r="C51" s="84">
        <f t="shared" si="15"/>
        <v>359.4445390070922</v>
      </c>
      <c r="D51" s="58" t="str">
        <f t="shared" si="16"/>
        <v>0.000234318263536563-0.0000481081330860156i</v>
      </c>
      <c r="E51" s="58" t="str">
        <f t="shared" si="17"/>
        <v>-i</v>
      </c>
      <c r="F51" s="84" t="str">
        <f t="shared" si="18"/>
        <v>-0.0000481081330860156-0.000234318263536563i</v>
      </c>
      <c r="G51" s="84" t="str">
        <f t="shared" si="19"/>
        <v>-0.0172922057195947-0.0842244202178422i</v>
      </c>
      <c r="H51" s="87">
        <f t="shared" si="20"/>
        <v>8.5981238300459756E-2</v>
      </c>
      <c r="I51" s="58" t="str">
        <f t="shared" si="21"/>
        <v>4.62962962962962-0.0916026032932717i</v>
      </c>
      <c r="J51" s="89" t="str">
        <f t="shared" si="22"/>
        <v>0.0452280791319486-0.207803994162727i</v>
      </c>
      <c r="K51" s="89" t="str">
        <f t="shared" si="23"/>
        <v>0.190353868400457-0.966198538321582i</v>
      </c>
      <c r="L51" s="89" t="str">
        <f t="shared" si="24"/>
        <v>-0.0846691499573632+0.000675259688376575i</v>
      </c>
      <c r="M51" s="84">
        <f t="shared" si="25"/>
        <v>-21.445219782590694</v>
      </c>
      <c r="N51" s="84">
        <f t="shared" si="26"/>
        <v>359.54306013480027</v>
      </c>
      <c r="O51" s="84">
        <f t="shared" si="12"/>
        <v>-0.45693986519972896</v>
      </c>
    </row>
    <row r="52" spans="1:15" ht="15" x14ac:dyDescent="0.2">
      <c r="A52" s="85">
        <f t="shared" si="13"/>
        <v>51</v>
      </c>
      <c r="B52" s="84">
        <f t="shared" si="27"/>
        <v>25500</v>
      </c>
      <c r="C52" s="84">
        <f t="shared" si="15"/>
        <v>359.4445390070922</v>
      </c>
      <c r="D52" s="58" t="str">
        <f t="shared" si="16"/>
        <v>0.00023431817364482-0.0000471648363630796i</v>
      </c>
      <c r="E52" s="58" t="str">
        <f t="shared" si="17"/>
        <v>-0.0387703964914096-0.978856545080144i</v>
      </c>
      <c r="F52" s="84" t="str">
        <f t="shared" si="18"/>
        <v>-0.0000552522172689871-0.000227535278497209i</v>
      </c>
      <c r="G52" s="84" t="str">
        <f t="shared" si="19"/>
        <v>-0.0198601077653708-0.0817863132872796i</v>
      </c>
      <c r="H52" s="87">
        <f t="shared" si="20"/>
        <v>8.4163085266506177E-2</v>
      </c>
      <c r="I52" s="58" t="str">
        <f t="shared" si="21"/>
        <v>4.62962962962961-0.0898064738169329i</v>
      </c>
      <c r="J52" s="89" t="str">
        <f t="shared" si="22"/>
        <v>0.0435482998966566-0.204087837640481i</v>
      </c>
      <c r="K52" s="89" t="str">
        <f t="shared" si="23"/>
        <v>0.183284090474143-0.948762019441849i</v>
      </c>
      <c r="L52" s="89" t="str">
        <f t="shared" si="24"/>
        <v>-0.0812357895456376+0.00385238590571359i</v>
      </c>
      <c r="M52" s="84">
        <f t="shared" si="25"/>
        <v>-21.79529612183449</v>
      </c>
      <c r="N52" s="84">
        <f t="shared" si="26"/>
        <v>357.28493787672141</v>
      </c>
      <c r="O52" s="84">
        <f t="shared" si="12"/>
        <v>-2.7150621232785852</v>
      </c>
    </row>
    <row r="53" spans="1:15" ht="15" x14ac:dyDescent="0.2">
      <c r="A53" s="85">
        <f t="shared" si="13"/>
        <v>52</v>
      </c>
      <c r="B53" s="84">
        <f t="shared" si="27"/>
        <v>26000</v>
      </c>
      <c r="C53" s="84">
        <f t="shared" si="15"/>
        <v>359.4445390070922</v>
      </c>
      <c r="D53" s="58" t="str">
        <f t="shared" si="16"/>
        <v>0.000234318088889109-0.0000462578202830958i</v>
      </c>
      <c r="E53" s="58" t="str">
        <f t="shared" si="17"/>
        <v>-0.0749821807052913-0.955655244283123i</v>
      </c>
      <c r="F53" s="84" t="str">
        <f t="shared" si="18"/>
        <v>-0.0000617762098262484-0.000220458798237776i</v>
      </c>
      <c r="G53" s="84" t="str">
        <f t="shared" si="19"/>
        <v>-0.0222051212626013-0.0792427111026349i</v>
      </c>
      <c r="H53" s="87">
        <f t="shared" si="20"/>
        <v>8.2295046468074146E-2</v>
      </c>
      <c r="I53" s="58" t="str">
        <f t="shared" si="21"/>
        <v>4.62962962962964-0.088079426243531i</v>
      </c>
      <c r="J53" s="89" t="str">
        <f t="shared" si="22"/>
        <v>0.0419590733732249-0.200495659641014i</v>
      </c>
      <c r="K53" s="89" t="str">
        <f t="shared" si="23"/>
        <v>0.176595426654987-0.931916377594602i</v>
      </c>
      <c r="L53" s="89" t="str">
        <f t="shared" si="24"/>
        <v>-0.0777689031448379+0.00669941579462459i</v>
      </c>
      <c r="M53" s="84">
        <f t="shared" si="25"/>
        <v>-22.151770567742552</v>
      </c>
      <c r="N53" s="84">
        <f t="shared" si="26"/>
        <v>355.07640035077998</v>
      </c>
      <c r="O53" s="84">
        <f t="shared" si="12"/>
        <v>-4.9235996492200229</v>
      </c>
    </row>
    <row r="54" spans="1:15" ht="15" x14ac:dyDescent="0.2">
      <c r="A54" s="85">
        <f t="shared" si="13"/>
        <v>53</v>
      </c>
      <c r="B54" s="84">
        <f t="shared" si="27"/>
        <v>26500</v>
      </c>
      <c r="C54" s="84">
        <f t="shared" si="15"/>
        <v>359.4445390070922</v>
      </c>
      <c r="D54" s="58" t="str">
        <f t="shared" si="16"/>
        <v>0.000234318008885483-0.0000453850312247823i</v>
      </c>
      <c r="E54" s="58" t="str">
        <f t="shared" si="17"/>
        <v>-0.108527966006091-0.93074145603929i</v>
      </c>
      <c r="F54" s="84" t="str">
        <f t="shared" si="18"/>
        <v>-0.0000676717869474811-0.000213163939640353i</v>
      </c>
      <c r="G54" s="84" t="str">
        <f t="shared" si="19"/>
        <v>-0.0243242542631235-0.0766206140169623i</v>
      </c>
      <c r="H54" s="87">
        <f t="shared" si="20"/>
        <v>8.0388978335300426E-2</v>
      </c>
      <c r="I54" s="58" t="str">
        <f t="shared" si="21"/>
        <v>4.62962962962964-0.0864175502766718i</v>
      </c>
      <c r="J54" s="89" t="str">
        <f t="shared" si="22"/>
        <v>0.0404540986589738-0.197021736264464i</v>
      </c>
      <c r="K54" s="89" t="str">
        <f t="shared" si="23"/>
        <v>0.170261357992314-0.915633611995799i</v>
      </c>
      <c r="L54" s="89" t="str">
        <f t="shared" si="24"/>
        <v>-0.0742978901286769+0.00922657499731505i</v>
      </c>
      <c r="M54" s="84">
        <f t="shared" si="25"/>
        <v>-22.514006611069096</v>
      </c>
      <c r="N54" s="84">
        <f t="shared" si="26"/>
        <v>352.92104830452467</v>
      </c>
      <c r="O54" s="84">
        <f t="shared" si="12"/>
        <v>-7.0789516954753253</v>
      </c>
    </row>
    <row r="55" spans="1:15" ht="15" x14ac:dyDescent="0.2">
      <c r="A55" s="85">
        <f t="shared" si="13"/>
        <v>54</v>
      </c>
      <c r="B55" s="84">
        <f t="shared" si="27"/>
        <v>27000</v>
      </c>
      <c r="C55" s="84">
        <f t="shared" si="15"/>
        <v>359.4445390070922</v>
      </c>
      <c r="D55" s="58" t="str">
        <f t="shared" si="16"/>
        <v>0.00023431793328522-0.0000445445676869511i</v>
      </c>
      <c r="E55" s="58" t="str">
        <f t="shared" si="17"/>
        <v>-0.139353101464065-0.9044552258485i</v>
      </c>
      <c r="F55" s="84" t="str">
        <f t="shared" si="18"/>
        <v>-0.0000729414977595704-0.000205722655609285i</v>
      </c>
      <c r="G55" s="84" t="str">
        <f t="shared" si="19"/>
        <v>-0.0262184230366756-0.0739458851087942i</v>
      </c>
      <c r="H55" s="87">
        <f t="shared" si="20"/>
        <v>7.8456354943707854E-2</v>
      </c>
      <c r="I55" s="58" t="str">
        <f t="shared" si="21"/>
        <v>4.62962962962964-0.0848172252715481i</v>
      </c>
      <c r="J55" s="89" t="str">
        <f t="shared" si="22"/>
        <v>0.0390276054799472-0.193660660668213i</v>
      </c>
      <c r="K55" s="89" t="str">
        <f t="shared" si="23"/>
        <v>0.164257598821327-0.899887345929012i</v>
      </c>
      <c r="L55" s="89" t="str">
        <f t="shared" si="24"/>
        <v>-0.0708495415058106+0.0114474535902298i</v>
      </c>
      <c r="M55" s="84">
        <f t="shared" si="25"/>
        <v>-22.88133599180561</v>
      </c>
      <c r="N55" s="84">
        <f t="shared" si="26"/>
        <v>350.82180454897821</v>
      </c>
      <c r="O55" s="84">
        <f t="shared" si="12"/>
        <v>-9.1781954510217929</v>
      </c>
    </row>
    <row r="56" spans="1:15" ht="15" x14ac:dyDescent="0.2">
      <c r="A56" s="85">
        <f t="shared" si="13"/>
        <v>55</v>
      </c>
      <c r="B56" s="84">
        <f t="shared" si="27"/>
        <v>27500.000000000004</v>
      </c>
      <c r="C56" s="84">
        <f t="shared" si="15"/>
        <v>359.4445390070922</v>
      </c>
      <c r="D56" s="58" t="str">
        <f t="shared" si="16"/>
        <v>0.000234317861771003-0.0000437346664594077i</v>
      </c>
      <c r="E56" s="58" t="str">
        <f t="shared" si="17"/>
        <v>-0.167450761502273-0.877123036440475i</v>
      </c>
      <c r="F56" s="84" t="str">
        <f t="shared" si="18"/>
        <v>-0.0000775973878297259-0.000198202191206146i</v>
      </c>
      <c r="G56" s="84" t="str">
        <f t="shared" si="19"/>
        <v>-0.0278919572966104-0.0712426952482887i</v>
      </c>
      <c r="H56" s="87">
        <f t="shared" si="20"/>
        <v>7.6508057798355303E-2</v>
      </c>
      <c r="I56" s="58" t="str">
        <f t="shared" si="21"/>
        <v>4.62962962962963-0.0832750939029744i</v>
      </c>
      <c r="J56" s="89" t="str">
        <f t="shared" si="22"/>
        <v>0.0376743022811232-0.190407324514457i</v>
      </c>
      <c r="K56" s="89" t="str">
        <f t="shared" si="23"/>
        <v>0.158561878287556-0.884652722330824i</v>
      </c>
      <c r="L56" s="89" t="str">
        <f t="shared" si="24"/>
        <v>-0.0674476454356507+0.0133783203807449i</v>
      </c>
      <c r="M56" s="84">
        <f t="shared" si="25"/>
        <v>-23.253074376225076</v>
      </c>
      <c r="N56" s="84">
        <f t="shared" si="26"/>
        <v>348.78093294895382</v>
      </c>
      <c r="O56" s="84">
        <f>IF(N56&gt;180,-(360-N56),N56)</f>
        <v>-11.219067051046181</v>
      </c>
    </row>
    <row r="57" spans="1:15" ht="15" x14ac:dyDescent="0.2">
      <c r="A57" s="85">
        <f t="shared" si="13"/>
        <v>56</v>
      </c>
      <c r="B57" s="84">
        <f t="shared" si="27"/>
        <v>28000.000000000004</v>
      </c>
      <c r="C57" s="84">
        <f t="shared" si="15"/>
        <v>359.4445390070922</v>
      </c>
      <c r="D57" s="58" t="str">
        <f t="shared" si="16"/>
        <v>0.000234317794053593-0.0000429536902755418i</v>
      </c>
      <c r="E57" s="58" t="str">
        <f t="shared" si="17"/>
        <v>-0.192855936857753-0.84905129434231i</v>
      </c>
      <c r="F57" s="84" t="str">
        <f t="shared" si="18"/>
        <v>-0.0000816594640198752-0.000190663952149051i</v>
      </c>
      <c r="G57" s="84" t="str">
        <f t="shared" si="19"/>
        <v>-0.0293520484001903-0.0685331163854859i</v>
      </c>
      <c r="H57" s="87">
        <f t="shared" si="20"/>
        <v>7.4554213742709874E-2</v>
      </c>
      <c r="I57" s="58" t="str">
        <f t="shared" si="21"/>
        <v>4.62962962962962-0.0817880386547069i</v>
      </c>
      <c r="J57" s="89" t="str">
        <f t="shared" si="22"/>
        <v>0.0363893300482215-0.18725690029172i</v>
      </c>
      <c r="K57" s="89" t="str">
        <f t="shared" si="23"/>
        <v>0.153153745994198-0.869906305875749i</v>
      </c>
      <c r="L57" s="89" t="str">
        <f t="shared" si="24"/>
        <v>-0.064112766270143+0.0150374284946022i</v>
      </c>
      <c r="M57" s="84">
        <f t="shared" si="25"/>
        <v>-23.628535333179499</v>
      </c>
      <c r="N57" s="84">
        <f t="shared" si="26"/>
        <v>346.80007206464865</v>
      </c>
      <c r="O57" s="84">
        <f t="shared" ref="O57:O101" si="28">IF(N57&gt;180,-(360-N57),N57)</f>
        <v>-13.199927935351354</v>
      </c>
    </row>
    <row r="58" spans="1:15" ht="15" x14ac:dyDescent="0.2">
      <c r="A58" s="85">
        <f t="shared" si="13"/>
        <v>57</v>
      </c>
      <c r="B58" s="84">
        <f t="shared" si="27"/>
        <v>28499.999999999996</v>
      </c>
      <c r="C58" s="84">
        <f t="shared" si="15"/>
        <v>359.4445390070922</v>
      </c>
      <c r="D58" s="58" t="str">
        <f t="shared" si="16"/>
        <v>0.0002343177298689-0.0000422001167646451i</v>
      </c>
      <c r="E58" s="58" t="str">
        <f t="shared" si="17"/>
        <v>-0.215638830467112-0.820521584554433i</v>
      </c>
      <c r="F58" s="84" t="str">
        <f t="shared" si="18"/>
        <v>-0.000085154107902747-0.000183162771176524i</v>
      </c>
      <c r="G58" s="84" t="str">
        <f t="shared" si="19"/>
        <v>-0.0306081790596631-0.0658368578488072i</v>
      </c>
      <c r="H58" s="87">
        <f t="shared" si="20"/>
        <v>7.2604080303743573E-2</v>
      </c>
      <c r="I58" s="58" t="str">
        <f t="shared" si="21"/>
        <v>4.62962962962961-0.0803531607835716i</v>
      </c>
      <c r="J58" s="89" t="str">
        <f t="shared" si="22"/>
        <v>0.0351682211622107-0.184204824536429i</v>
      </c>
      <c r="K58" s="89" t="str">
        <f t="shared" si="23"/>
        <v>0.148014398830852-0.855625991324094i</v>
      </c>
      <c r="L58" s="89" t="str">
        <f t="shared" si="24"/>
        <v>-0.0608621779853722+0.0164443506151462i</v>
      </c>
      <c r="M58" s="84">
        <f t="shared" si="25"/>
        <v>-24.00704236070505</v>
      </c>
      <c r="N58" s="84">
        <f t="shared" si="26"/>
        <v>344.88027994670807</v>
      </c>
      <c r="O58" s="84">
        <f t="shared" si="28"/>
        <v>-15.119720053291928</v>
      </c>
    </row>
    <row r="59" spans="1:15" ht="15" x14ac:dyDescent="0.2">
      <c r="A59" s="85">
        <f t="shared" si="13"/>
        <v>58</v>
      </c>
      <c r="B59" s="84">
        <f t="shared" si="27"/>
        <v>28999.999999999996</v>
      </c>
      <c r="C59" s="84">
        <f t="shared" si="15"/>
        <v>359.4445390070922</v>
      </c>
      <c r="D59" s="58" t="str">
        <f t="shared" si="16"/>
        <v>0.000234317668975401-0.0000414725285470911i</v>
      </c>
      <c r="E59" s="58" t="str">
        <f t="shared" si="17"/>
        <v>-0.235898099010801-0.791787600846437i</v>
      </c>
      <c r="F59" s="84" t="str">
        <f t="shared" si="18"/>
        <v>-0.0000881125265552759-0.000175746534308532i</v>
      </c>
      <c r="G59" s="84" t="str">
        <f t="shared" si="19"/>
        <v>-0.0316715664884113-0.0631711320066244i</v>
      </c>
      <c r="H59" s="87">
        <f t="shared" si="20"/>
        <v>7.0665975142413656E-2</v>
      </c>
      <c r="I59" s="58" t="str">
        <f t="shared" si="21"/>
        <v>4.62962962962964-0.0789677614597174i</v>
      </c>
      <c r="J59" s="89" t="str">
        <f t="shared" si="22"/>
        <v>0.034006862680088-0.181246781959696i</v>
      </c>
      <c r="K59" s="89" t="str">
        <f t="shared" si="23"/>
        <v>0.143126526431347-0.841790917855746i</v>
      </c>
      <c r="L59" s="89" t="str">
        <f t="shared" si="24"/>
        <v>-0.0577099264919686+0.0176193723293648i</v>
      </c>
      <c r="M59" s="84">
        <f t="shared" si="25"/>
        <v>-24.387938856233223</v>
      </c>
      <c r="N59" s="84">
        <f t="shared" si="26"/>
        <v>343.02208665248975</v>
      </c>
      <c r="O59" s="84">
        <f t="shared" si="28"/>
        <v>-16.977913347510253</v>
      </c>
    </row>
    <row r="60" spans="1:15" ht="15" x14ac:dyDescent="0.2">
      <c r="A60" s="85">
        <f t="shared" si="13"/>
        <v>59</v>
      </c>
      <c r="B60" s="84">
        <f t="shared" si="27"/>
        <v>29500</v>
      </c>
      <c r="C60" s="84">
        <f t="shared" si="15"/>
        <v>359.4445390070922</v>
      </c>
      <c r="D60" s="58" t="str">
        <f t="shared" si="16"/>
        <v>0.000234317611151865-0.0000407696043367864i</v>
      </c>
      <c r="E60" s="58" t="str">
        <f t="shared" si="17"/>
        <v>-0.253754296104207-0.763073571363313i</v>
      </c>
      <c r="F60" s="84" t="str">
        <f t="shared" si="18"/>
        <v>-0.0000905693080670016-0.000168456114124045i</v>
      </c>
      <c r="G60" s="84" t="str">
        <f t="shared" si="19"/>
        <v>-0.0325546431863347-0.0605506302842435i</v>
      </c>
      <c r="H60" s="87">
        <f t="shared" si="20"/>
        <v>6.8747244459750639E-2</v>
      </c>
      <c r="I60" s="58" t="str">
        <f t="shared" si="21"/>
        <v>4.62962962962963-0.0776293248248069i</v>
      </c>
      <c r="J60" s="89" t="str">
        <f t="shared" si="22"/>
        <v>0.0329014635149001-0.178378690469119i</v>
      </c>
      <c r="K60" s="89" t="str">
        <f t="shared" si="23"/>
        <v>0.138474173042509-0.828381389088775i</v>
      </c>
      <c r="L60" s="89" t="str">
        <f t="shared" si="24"/>
        <v>-0.0546669925189841+0.018582962088172i</v>
      </c>
      <c r="M60" s="84">
        <f t="shared" si="25"/>
        <v>-24.770596043438996</v>
      </c>
      <c r="N60" s="84">
        <f t="shared" si="26"/>
        <v>341.22555132759163</v>
      </c>
      <c r="O60" s="84">
        <f t="shared" si="28"/>
        <v>-18.774448672408369</v>
      </c>
    </row>
    <row r="61" spans="1:15" ht="15" x14ac:dyDescent="0.2">
      <c r="A61" s="85">
        <f t="shared" si="13"/>
        <v>60</v>
      </c>
      <c r="B61" s="84">
        <f t="shared" si="27"/>
        <v>30000</v>
      </c>
      <c r="C61" s="84">
        <f t="shared" si="15"/>
        <v>359.4445390070922</v>
      </c>
      <c r="D61" s="58" t="str">
        <f t="shared" si="16"/>
        <v>0.000234317556195345-0.000040090110933377i</v>
      </c>
      <c r="E61" s="58" t="str">
        <f t="shared" si="17"/>
        <v>-0.269343780607248-0.734573947110676i</v>
      </c>
      <c r="F61" s="84" t="str">
        <f t="shared" si="18"/>
        <v>-0.0000925611274767411-0.000161325550087982i</v>
      </c>
      <c r="G61" s="84" t="str">
        <f t="shared" si="19"/>
        <v>-0.0332705917958539-0.0579875879814403i</v>
      </c>
      <c r="H61" s="87">
        <f t="shared" si="20"/>
        <v>6.6854264174782602E-2</v>
      </c>
      <c r="I61" s="58" t="str">
        <f t="shared" si="21"/>
        <v>4.62962962962964-0.0763355027443933i</v>
      </c>
      <c r="J61" s="89" t="str">
        <f t="shared" si="22"/>
        <v>0.0318485250562498-0.175596687064395i</v>
      </c>
      <c r="K61" s="89" t="str">
        <f t="shared" si="23"/>
        <v>0.134042613873106-0.815378798469963i</v>
      </c>
      <c r="L61" s="89" t="str">
        <f t="shared" si="24"/>
        <v>-0.0517415269038994+0.019355327297659i</v>
      </c>
      <c r="M61" s="84">
        <f t="shared" si="25"/>
        <v>-25.154418961565426</v>
      </c>
      <c r="N61" s="84">
        <f t="shared" si="26"/>
        <v>339.49032111152212</v>
      </c>
      <c r="O61" s="84">
        <f t="shared" si="28"/>
        <v>-20.509678888477879</v>
      </c>
    </row>
    <row r="62" spans="1:15" ht="15" x14ac:dyDescent="0.2">
      <c r="A62" s="85">
        <f t="shared" si="13"/>
        <v>61</v>
      </c>
      <c r="B62" s="84">
        <f t="shared" si="27"/>
        <v>30500</v>
      </c>
      <c r="C62" s="84">
        <f t="shared" si="15"/>
        <v>359.4445390070922</v>
      </c>
      <c r="D62" s="58" t="str">
        <f t="shared" si="16"/>
        <v>0.000234317503919388-0.0000394328960021049i</v>
      </c>
      <c r="E62" s="58" t="str">
        <f t="shared" si="17"/>
        <v>-0.282813264215408-0.706454099800979i</v>
      </c>
      <c r="F62" s="84" t="str">
        <f t="shared" si="18"/>
        <v>-0.0000941256291939614-0.000154382415263162i</v>
      </c>
      <c r="G62" s="84" t="str">
        <f t="shared" si="19"/>
        <v>-0.033832943394376-0.0554919160850687i</v>
      </c>
      <c r="H62" s="87">
        <f t="shared" si="20"/>
        <v>6.4992467329063261E-2</v>
      </c>
      <c r="I62" s="58" t="str">
        <f t="shared" si="21"/>
        <v>4.62962962962963-0.0750841010600589i</v>
      </c>
      <c r="J62" s="89" t="str">
        <f t="shared" si="22"/>
        <v>0.0308448148313138-0.17289711457782i</v>
      </c>
      <c r="K62" s="89" t="str">
        <f t="shared" si="23"/>
        <v>0.129818244239536-0.802765559720918i</v>
      </c>
      <c r="L62" s="89" t="str">
        <f t="shared" si="24"/>
        <v>-0.0489391323849299+0.0199560586253411i</v>
      </c>
      <c r="M62" s="84">
        <f t="shared" si="25"/>
        <v>-25.538850688349655</v>
      </c>
      <c r="N62" s="84">
        <f t="shared" si="26"/>
        <v>337.81568961291578</v>
      </c>
      <c r="O62" s="84">
        <f t="shared" si="28"/>
        <v>-22.184310387084224</v>
      </c>
    </row>
    <row r="63" spans="1:15" ht="15" x14ac:dyDescent="0.2">
      <c r="A63" s="85">
        <f t="shared" si="13"/>
        <v>62</v>
      </c>
      <c r="B63" s="84">
        <f t="shared" si="27"/>
        <v>31000</v>
      </c>
      <c r="C63" s="84">
        <f t="shared" si="15"/>
        <v>359.4445390070922</v>
      </c>
      <c r="D63" s="58" t="str">
        <f t="shared" si="16"/>
        <v>0.000234317454152458-0.0000387968815523894i</v>
      </c>
      <c r="E63" s="58" t="str">
        <f t="shared" si="17"/>
        <v>-0.294315093739357-0.678851778714291i</v>
      </c>
      <c r="F63" s="84" t="str">
        <f t="shared" si="18"/>
        <v>-0.0000953004955340554-0.000147648312704314i</v>
      </c>
      <c r="G63" s="84" t="str">
        <f t="shared" si="19"/>
        <v>-0.034255242684386-0.0530713796951771i</v>
      </c>
      <c r="H63" s="87">
        <f t="shared" si="20"/>
        <v>6.3166391333650179E-2</v>
      </c>
      <c r="I63" s="58" t="str">
        <f t="shared" si="21"/>
        <v>4.62962962962962-0.0738730671719934i</v>
      </c>
      <c r="J63" s="89" t="str">
        <f t="shared" si="22"/>
        <v>0.029887342857111-0.17027650922559i</v>
      </c>
      <c r="K63" s="89" t="str">
        <f t="shared" si="23"/>
        <v>0.125788480038346-0.790525042027169i</v>
      </c>
      <c r="L63" s="89" t="str">
        <f t="shared" si="24"/>
        <v>-0.0462631695745833+0.0204038589773308i</v>
      </c>
      <c r="M63" s="84">
        <f t="shared" si="25"/>
        <v>-25.923375007577228</v>
      </c>
      <c r="N63" s="84">
        <f t="shared" si="26"/>
        <v>336.20065320285022</v>
      </c>
      <c r="O63" s="84">
        <f t="shared" si="28"/>
        <v>-23.799346797149781</v>
      </c>
    </row>
    <row r="64" spans="1:15" ht="15" x14ac:dyDescent="0.2">
      <c r="A64" s="85">
        <f t="shared" si="13"/>
        <v>63</v>
      </c>
      <c r="B64" s="84">
        <f t="shared" si="27"/>
        <v>31500</v>
      </c>
      <c r="C64" s="84">
        <f t="shared" si="15"/>
        <v>359.4445390070922</v>
      </c>
      <c r="D64" s="58" t="str">
        <f t="shared" si="16"/>
        <v>0.000234317406736522-0.0000381810580374955i</v>
      </c>
      <c r="E64" s="58" t="str">
        <f t="shared" si="17"/>
        <v>-0.304003299211843-0.65187909633581i</v>
      </c>
      <c r="F64" s="84" t="str">
        <f t="shared" si="18"/>
        <v>-0.0000961226983212937-0.000141139451748357i</v>
      </c>
      <c r="G64" s="84" t="str">
        <f t="shared" si="19"/>
        <v>-0.0345507789862152-0.0507318051694019i</v>
      </c>
      <c r="H64" s="87">
        <f t="shared" si="20"/>
        <v>6.1379739200329311E-2</v>
      </c>
      <c r="I64" s="58" t="str">
        <f t="shared" si="21"/>
        <v>4.62962962962961-0.0727004788041839i</v>
      </c>
      <c r="J64" s="89" t="str">
        <f t="shared" si="22"/>
        <v>0.0289733403785427-0.167731588932591i</v>
      </c>
      <c r="K64" s="89" t="str">
        <f t="shared" si="23"/>
        <v>0.121941668259859-0.778641509665254i</v>
      </c>
      <c r="L64" s="89" t="str">
        <f t="shared" si="24"/>
        <v>-0.0437150689944034+0.0207163497537461i</v>
      </c>
      <c r="M64" s="84">
        <f t="shared" si="25"/>
        <v>-26.307517750664413</v>
      </c>
      <c r="N64" s="84">
        <f t="shared" si="26"/>
        <v>334.64396385373368</v>
      </c>
      <c r="O64" s="84">
        <f t="shared" si="28"/>
        <v>-25.35603614626632</v>
      </c>
    </row>
    <row r="65" spans="1:15" ht="15" x14ac:dyDescent="0.2">
      <c r="A65" s="85">
        <f t="shared" si="13"/>
        <v>64</v>
      </c>
      <c r="B65" s="84">
        <f t="shared" si="27"/>
        <v>32000</v>
      </c>
      <c r="C65" s="84">
        <f t="shared" si="15"/>
        <v>359.4445390070922</v>
      </c>
      <c r="D65" s="58" t="str">
        <f t="shared" si="16"/>
        <v>0.000234317361525798-0.0000375844790073593i</v>
      </c>
      <c r="E65" s="58" t="str">
        <f t="shared" si="17"/>
        <v>-0.312030390352364-0.625624842811758i</v>
      </c>
      <c r="F65" s="84" t="str">
        <f t="shared" si="18"/>
        <v>-0.0000966279215543717-0.000134867262816787i</v>
      </c>
      <c r="G65" s="84" t="str">
        <f t="shared" si="19"/>
        <v>-0.0347323787183246-0.0484773011103283i</v>
      </c>
      <c r="H65" s="87">
        <f t="shared" si="20"/>
        <v>5.9635449645110972E-2</v>
      </c>
      <c r="I65" s="58" t="str">
        <f t="shared" si="21"/>
        <v>4.62962962962964-0.0715645338228689i</v>
      </c>
      <c r="J65" s="89" t="str">
        <f t="shared" si="22"/>
        <v>0.0281002407246139-0.165259242391561i</v>
      </c>
      <c r="K65" s="89" t="str">
        <f t="shared" si="23"/>
        <v>0.118267006416725-0.767100065773885i</v>
      </c>
      <c r="L65" s="89" t="str">
        <f t="shared" si="24"/>
        <v>-0.0412946353270215+0.0209099447178296i</v>
      </c>
      <c r="M65" s="84">
        <f t="shared" si="25"/>
        <v>-26.690847043089715</v>
      </c>
      <c r="N65" s="84">
        <f t="shared" si="26"/>
        <v>333.14417767913562</v>
      </c>
      <c r="O65" s="84">
        <f t="shared" si="28"/>
        <v>-26.855822320864377</v>
      </c>
    </row>
    <row r="66" spans="1:15" ht="15" x14ac:dyDescent="0.2">
      <c r="A66" s="85">
        <f t="shared" si="13"/>
        <v>65</v>
      </c>
      <c r="B66" s="84">
        <f t="shared" si="27"/>
        <v>32500</v>
      </c>
      <c r="C66" s="84">
        <f t="shared" ref="C66:C101" si="29">_ta1*_ta2*(rload/RS)</f>
        <v>359.4445390070922</v>
      </c>
      <c r="D66" s="58" t="str">
        <f t="shared" ref="D66:D101" si="30">IMDIV((COMPLEX(1,2*PI()*(B66)*(esrcout*0.001)*(cout*0.000001))),(COMPLEX(1,2*PI()*(B66)*rload*(cout*0.000001))))</f>
        <v>0.000234317318385629-0.0000370062562549968i</v>
      </c>
      <c r="E66" s="58" t="str">
        <f t="shared" ref="E66:E101" si="31">IMDIV(1,(COMPLEX((1-(B66/(fpp*1000))^2),(B66/(fpp*1000)))))</f>
        <v>-0.318544850191589-0.60015696412908i</v>
      </c>
      <c r="F66" s="84" t="str">
        <f t="shared" ref="F66:F97" si="32">IMPRODUCT(D66,E66)</f>
        <v>-0.0000968501374902267-0.000128839018090287i</v>
      </c>
      <c r="G66" s="84" t="str">
        <f t="shared" ref="G66:G97" si="33">IMPRODUCT(C66,F66)</f>
        <v>-0.034812253022948-0.0463104814635896i</v>
      </c>
      <c r="H66" s="87">
        <f t="shared" ref="H66:H97" si="34">IMABS(G66)</f>
        <v>5.7935771798805165E-2</v>
      </c>
      <c r="I66" s="58" t="str">
        <f t="shared" ref="I66:I101" si="35">IMDIV((COMPLEX(1,(2*PI()*B66*(rf*1000)*(Cz*0.000000001)))),(COMPLEX(0,2*PI()*B66*((Cz*0.000000001)+(Cp*0.000000000001))*(RII*1000))))</f>
        <v>4.62962962962964-0.0704635409948247i</v>
      </c>
      <c r="J66" s="89" t="str">
        <f t="shared" ref="J66:J101" si="36">IMDIV(1,(COMPLEX(1,2*PI()*B66*(((Cz*0.000000001)*(Cp*0.000000000001))/((Cz*0.000000001)+(Cp*0.000000000001)))*(rf*1000))))</f>
        <v>0.0272656620480639-0.162856518816855i</v>
      </c>
      <c r="K66" s="89" t="str">
        <f t="shared" ref="K66:K97" si="37">IMPRODUCT(I66,J66)</f>
        <v>0.114754469899259-0.755886599988324i</v>
      </c>
      <c r="L66" s="89" t="str">
        <f t="shared" ref="L66:L97" si="38">IMPRODUCT(G66,K66)</f>
        <v>-0.0390003340189823+0.0209997808243157i</v>
      </c>
      <c r="M66" s="84">
        <f t="shared" ref="M66:M97" si="39">20*LOG(IMABS(L66))</f>
        <v>-27.072972675597523</v>
      </c>
      <c r="N66" s="84">
        <f t="shared" ref="N66:N101" si="40">(180/PI())*IMARGUMENT(L66)+180</f>
        <v>331.69969869242095</v>
      </c>
      <c r="O66" s="84">
        <f t="shared" si="28"/>
        <v>-28.300301307579048</v>
      </c>
    </row>
    <row r="67" spans="1:15" ht="15" x14ac:dyDescent="0.2">
      <c r="A67" s="85">
        <f t="shared" si="13"/>
        <v>66</v>
      </c>
      <c r="B67" s="84">
        <f t="shared" si="27"/>
        <v>33000</v>
      </c>
      <c r="C67" s="84">
        <f t="shared" si="29"/>
        <v>359.4445390070922</v>
      </c>
      <c r="D67" s="58" t="str">
        <f t="shared" si="30"/>
        <v>0.000234317277191483-0.0000364455554041499i</v>
      </c>
      <c r="E67" s="58" t="str">
        <f t="shared" si="31"/>
        <v>-0.323689253851623-0.57552507419739i</v>
      </c>
      <c r="F67" s="84" t="str">
        <f t="shared" si="32"/>
        <v>-0.0000968213155967935-0.000123058433706381i</v>
      </c>
      <c r="G67" s="84" t="str">
        <f t="shared" si="33"/>
        <v>-0.0348018931507496-0.0442326819745249i</v>
      </c>
      <c r="H67" s="87">
        <f t="shared" si="34"/>
        <v>5.6282341116336412E-2</v>
      </c>
      <c r="I67" s="58" t="str">
        <f t="shared" si="35"/>
        <v>4.62962962962963-0.0693959115858121i</v>
      </c>
      <c r="J67" s="89" t="str">
        <f t="shared" si="36"/>
        <v>0.0264673917421115-0.160520618353161i</v>
      </c>
      <c r="K67" s="89" t="str">
        <f t="shared" si="37"/>
        <v>0.111394746389358-0.744987739671507i</v>
      </c>
      <c r="L67" s="89" t="str">
        <f t="shared" si="38"/>
        <v>-0.0368295538252072+0.0209996953239929i</v>
      </c>
      <c r="M67" s="84">
        <f t="shared" si="39"/>
        <v>-27.453544801079381</v>
      </c>
      <c r="N67" s="84">
        <f t="shared" si="40"/>
        <v>330.30881759437693</v>
      </c>
      <c r="O67" s="84">
        <f t="shared" si="28"/>
        <v>-29.691182405623067</v>
      </c>
    </row>
    <row r="68" spans="1:15" ht="15" x14ac:dyDescent="0.2">
      <c r="A68" s="85">
        <f t="shared" ref="A68:A100" si="41">1+A67</f>
        <v>67</v>
      </c>
      <c r="B68" s="84">
        <f t="shared" ref="B68:B99" si="42">(fs*1000/2)*(A68/100)</f>
        <v>33500</v>
      </c>
      <c r="C68" s="84">
        <f t="shared" si="29"/>
        <v>359.4445390070922</v>
      </c>
      <c r="D68" s="58" t="str">
        <f t="shared" si="30"/>
        <v>0.000234317237828051-0.0000359015918920687i</v>
      </c>
      <c r="E68" s="58" t="str">
        <f t="shared" si="31"/>
        <v>-0.327598930100435-0.551762903889622i</v>
      </c>
      <c r="F68" s="84" t="str">
        <f t="shared" si="32"/>
        <v>-0.0000965712430131866-0.000117526236482656i</v>
      </c>
      <c r="G68" s="84" t="str">
        <f t="shared" si="33"/>
        <v>-0.0347120059262167-0.0422441638937468i</v>
      </c>
      <c r="H68" s="87">
        <f t="shared" si="34"/>
        <v>5.4676253881401238E-2</v>
      </c>
      <c r="I68" s="58" t="str">
        <f t="shared" si="35"/>
        <v>4.62962962962963-0.0683601517113969i</v>
      </c>
      <c r="J68" s="89" t="str">
        <f t="shared" si="36"/>
        <v>0.0257033723527697-0.158248883100212i</v>
      </c>
      <c r="K68" s="89" t="str">
        <f t="shared" si="37"/>
        <v>0.108179176568896-0.734390804490067i</v>
      </c>
      <c r="L68" s="89" t="str">
        <f t="shared" si="38"/>
        <v>-0.0347788417250917+0.0209222390927512i</v>
      </c>
      <c r="M68" s="84">
        <f t="shared" si="39"/>
        <v>-27.832252134420202</v>
      </c>
      <c r="N68" s="84">
        <f t="shared" si="40"/>
        <v>328.96974562439209</v>
      </c>
      <c r="O68" s="84">
        <f t="shared" si="28"/>
        <v>-31.03025437560791</v>
      </c>
    </row>
    <row r="69" spans="1:15" ht="15" x14ac:dyDescent="0.2">
      <c r="A69" s="85">
        <f t="shared" si="41"/>
        <v>68</v>
      </c>
      <c r="B69" s="84">
        <f t="shared" si="42"/>
        <v>34000</v>
      </c>
      <c r="C69" s="84">
        <f t="shared" si="29"/>
        <v>359.4445390070922</v>
      </c>
      <c r="D69" s="58" t="str">
        <f t="shared" si="30"/>
        <v>0.00023431720018844-0.0000353736273067525i</v>
      </c>
      <c r="E69" s="58" t="str">
        <f t="shared" si="31"/>
        <v>-0.330401080778646-0.528890618948869i</v>
      </c>
      <c r="F69" s="84" t="str">
        <f t="shared" si="32"/>
        <v>-0.0000961274358280219-0.000112240684344818i</v>
      </c>
      <c r="G69" s="84" t="str">
        <f t="shared" si="33"/>
        <v>-0.0345524818571372-0.0403443010421637i</v>
      </c>
      <c r="H69" s="87">
        <f t="shared" si="34"/>
        <v>5.3118138418703331E-2</v>
      </c>
      <c r="I69" s="58" t="str">
        <f t="shared" si="35"/>
        <v>4.62962962962962-0.0673548553626998i</v>
      </c>
      <c r="J69" s="89" t="str">
        <f t="shared" si="36"/>
        <v>0.0249716888267234-0.156038788715706i</v>
      </c>
      <c r="K69" s="89" t="str">
        <f t="shared" si="37"/>
        <v>0.105099700449172-0.724083764098835i</v>
      </c>
      <c r="L69" s="89" t="str">
        <f t="shared" si="38"/>
        <v>-0.032844108851507+0.02077871716771i</v>
      </c>
      <c r="M69" s="84">
        <f t="shared" si="39"/>
        <v>-28.208819807114622</v>
      </c>
      <c r="N69" s="84">
        <f t="shared" si="40"/>
        <v>327.68064367267453</v>
      </c>
      <c r="O69" s="84">
        <f t="shared" si="28"/>
        <v>-32.319356327325465</v>
      </c>
    </row>
    <row r="70" spans="1:15" ht="15" x14ac:dyDescent="0.2">
      <c r="A70" s="85">
        <f t="shared" si="41"/>
        <v>69</v>
      </c>
      <c r="B70" s="84">
        <f t="shared" si="42"/>
        <v>34500</v>
      </c>
      <c r="C70" s="84">
        <f t="shared" si="29"/>
        <v>359.4445390070922</v>
      </c>
      <c r="D70" s="58" t="str">
        <f t="shared" si="30"/>
        <v>0.000234317164173446-0.0000348609660426931i</v>
      </c>
      <c r="E70" s="58" t="str">
        <f t="shared" si="31"/>
        <v>-0.332214276180469-0.506916962769844i</v>
      </c>
      <c r="F70" s="84" t="str">
        <f t="shared" si="32"/>
        <v>-0.0000955151221181261-0.000107198034586821i</v>
      </c>
      <c r="G70" s="84" t="str">
        <f t="shared" si="33"/>
        <v>-0.0343323890379559-0.0385317481245262i</v>
      </c>
      <c r="H70" s="87">
        <f t="shared" si="34"/>
        <v>5.160822173438534E-2</v>
      </c>
      <c r="I70" s="58" t="str">
        <f t="shared" si="35"/>
        <v>4.62962962962962-0.0663786980386027i</v>
      </c>
      <c r="J70" s="89" t="str">
        <f t="shared" si="36"/>
        <v>0.0242705569535406-0.153887936560036i</v>
      </c>
      <c r="K70" s="89" t="str">
        <f t="shared" si="37"/>
        <v>0.102148808727022-0.714055198712154i</v>
      </c>
      <c r="L70" s="89" t="str">
        <f t="shared" si="38"/>
        <v>-0.0310208077047651+0.0205792487076706i</v>
      </c>
      <c r="M70" s="84">
        <f t="shared" si="39"/>
        <v>-28.583007003122841</v>
      </c>
      <c r="N70" s="84">
        <f t="shared" si="40"/>
        <v>326.43964696135231</v>
      </c>
      <c r="O70" s="84">
        <f t="shared" si="28"/>
        <v>-33.56035303864769</v>
      </c>
    </row>
    <row r="71" spans="1:15" ht="15" x14ac:dyDescent="0.2">
      <c r="A71" s="85">
        <f t="shared" si="41"/>
        <v>70</v>
      </c>
      <c r="B71" s="84">
        <f t="shared" si="42"/>
        <v>35000</v>
      </c>
      <c r="C71" s="84">
        <f t="shared" si="29"/>
        <v>359.4445390070922</v>
      </c>
      <c r="D71" s="58" t="str">
        <f t="shared" si="30"/>
        <v>0.000234317129690899-0.0000343629522432683i</v>
      </c>
      <c r="E71" s="58" t="str">
        <f t="shared" si="31"/>
        <v>-0.333148250971682-0.485841199333704i</v>
      </c>
      <c r="F71" s="84" t="str">
        <f t="shared" si="32"/>
        <v>-0.000094757279859744-0.000102392957875389i</v>
      </c>
      <c r="G71" s="84" t="str">
        <f t="shared" si="33"/>
        <v>-0.0340599867767517-0.0368045895410918i</v>
      </c>
      <c r="H71" s="87">
        <f t="shared" si="34"/>
        <v>5.0146390802536765E-2</v>
      </c>
      <c r="I71" s="58" t="str">
        <f t="shared" si="35"/>
        <v>4.62962962962964-0.0654304309237659i</v>
      </c>
      <c r="J71" s="89" t="str">
        <f t="shared" si="36"/>
        <v>0.0235983128773771-0.151794046348065i</v>
      </c>
      <c r="K71" s="89" t="str">
        <f t="shared" si="37"/>
        <v>0.0993194986421597-0.704294262355017i</v>
      </c>
      <c r="L71" s="89" t="str">
        <f t="shared" si="38"/>
        <v>-0.029304082052548+0.0203328398818023i</v>
      </c>
      <c r="M71" s="84">
        <f t="shared" si="39"/>
        <v>-28.954604478583722</v>
      </c>
      <c r="N71" s="84">
        <f t="shared" si="40"/>
        <v>325.24488566962958</v>
      </c>
      <c r="O71" s="84">
        <f t="shared" si="28"/>
        <v>-34.755114330370418</v>
      </c>
    </row>
    <row r="72" spans="1:15" ht="15" x14ac:dyDescent="0.2">
      <c r="A72" s="85">
        <f t="shared" si="41"/>
        <v>71</v>
      </c>
      <c r="B72" s="84">
        <f t="shared" si="42"/>
        <v>35500</v>
      </c>
      <c r="C72" s="84">
        <f t="shared" si="29"/>
        <v>359.4445390070922</v>
      </c>
      <c r="D72" s="58" t="str">
        <f t="shared" si="30"/>
        <v>0.000234317096655077-0.0000338789670015249i</v>
      </c>
      <c r="E72" s="58" t="str">
        <f t="shared" si="31"/>
        <v>-0.333303933678997-0.465654846344132i</v>
      </c>
      <c r="F72" s="84" t="str">
        <f t="shared" si="32"/>
        <v>-0.0000938747152167719-0.0000978188986681338i</v>
      </c>
      <c r="G72" s="84" t="str">
        <f t="shared" si="33"/>
        <v>-0.0337427537355146-0.0351604689379488i</v>
      </c>
      <c r="H72" s="87">
        <f t="shared" si="34"/>
        <v>4.8732248107306184E-2</v>
      </c>
      <c r="I72" s="58" t="str">
        <f t="shared" si="35"/>
        <v>4.62962962962963-0.0645088755586423i</v>
      </c>
      <c r="J72" s="89" t="str">
        <f t="shared" si="36"/>
        <v>0.0229534035676663-0.149754949274894i</v>
      </c>
      <c r="K72" s="89" t="str">
        <f t="shared" si="37"/>
        <v>0.0966052338706494-0.694790648601125i</v>
      </c>
      <c r="L72" s="89" t="str">
        <f t="shared" si="38"/>
        <v>-0.0276888916345763+0.020047464428734i</v>
      </c>
      <c r="M72" s="84">
        <f t="shared" si="39"/>
        <v>-29.323432046448158</v>
      </c>
      <c r="N72" s="84">
        <f t="shared" si="40"/>
        <v>324.09450191183214</v>
      </c>
      <c r="O72" s="84">
        <f t="shared" si="28"/>
        <v>-35.90549808816786</v>
      </c>
    </row>
    <row r="73" spans="1:15" ht="15" x14ac:dyDescent="0.2">
      <c r="A73" s="85">
        <f t="shared" si="41"/>
        <v>72</v>
      </c>
      <c r="B73" s="84">
        <f t="shared" si="42"/>
        <v>36000</v>
      </c>
      <c r="C73" s="84">
        <f t="shared" si="29"/>
        <v>359.4445390070922</v>
      </c>
      <c r="D73" s="58" t="str">
        <f t="shared" si="30"/>
        <v>0.000234317064986165-0.0000334084257942286i</v>
      </c>
      <c r="E73" s="58" t="str">
        <f t="shared" si="31"/>
        <v>-0.3327736520237-0.446343199435663i</v>
      </c>
      <c r="F73" s="84" t="str">
        <f t="shared" si="32"/>
        <v>-0.0000928861691040257-0.0000934683846083908i</v>
      </c>
      <c r="G73" s="84" t="str">
        <f t="shared" si="33"/>
        <v>-0.0333874262337313-0.0335967004173006i</v>
      </c>
      <c r="H73" s="87">
        <f t="shared" si="34"/>
        <v>4.7365161347162066E-2</v>
      </c>
      <c r="I73" s="58" t="str">
        <f t="shared" si="35"/>
        <v>4.62962962962964-0.0636129189536611i</v>
      </c>
      <c r="J73" s="89" t="str">
        <f t="shared" si="36"/>
        <v>0.0223343781508312-0.147768581584337i</v>
      </c>
      <c r="K73" s="89" t="str">
        <f t="shared" si="37"/>
        <v>0.0939999080422191-0.685534558618381i</v>
      </c>
      <c r="L73" s="89" t="str">
        <f t="shared" si="38"/>
        <v>-0.0261701141873453+0.0197301477567965i</v>
      </c>
      <c r="M73" s="84">
        <f t="shared" si="39"/>
        <v>-29.689336088238953</v>
      </c>
      <c r="N73" s="84">
        <f t="shared" si="40"/>
        <v>322.98666348553616</v>
      </c>
      <c r="O73" s="84">
        <f t="shared" si="28"/>
        <v>-37.013336514463845</v>
      </c>
    </row>
    <row r="74" spans="1:15" ht="15" x14ac:dyDescent="0.2">
      <c r="A74" s="85">
        <f t="shared" si="41"/>
        <v>73</v>
      </c>
      <c r="B74" s="84">
        <f t="shared" si="42"/>
        <v>36500</v>
      </c>
      <c r="C74" s="84">
        <f t="shared" si="29"/>
        <v>359.4445390070922</v>
      </c>
      <c r="D74" s="58" t="str">
        <f t="shared" si="30"/>
        <v>0.00023431703460978-0.0000329507761268156i</v>
      </c>
      <c r="E74" s="58" t="str">
        <f t="shared" si="31"/>
        <v>-0.331641465588464-0.427886655849379i</v>
      </c>
      <c r="F74" s="84" t="str">
        <f t="shared" si="32"/>
        <v>-0.000091808442174875-0.0000893332886607475i</v>
      </c>
      <c r="G74" s="84" t="str">
        <f t="shared" si="33"/>
        <v>-0.0330000431745072-0.0321103627606499i</v>
      </c>
      <c r="H74" s="87">
        <f t="shared" si="34"/>
        <v>4.6044307423826786E-2</v>
      </c>
      <c r="I74" s="58" t="str">
        <f t="shared" si="35"/>
        <v>4.62962962962963-0.0627415091049807i</v>
      </c>
      <c r="J74" s="89" t="str">
        <f t="shared" si="36"/>
        <v>0.0217398800160607-0.145832978550628i</v>
      </c>
      <c r="K74" s="89" t="str">
        <f t="shared" si="37"/>
        <v>0.091497811515407-0.676516671355099i</v>
      </c>
      <c r="L74" s="89" t="str">
        <f t="shared" si="38"/>
        <v>-0.0247426274612209+0.0193870514434269i</v>
      </c>
      <c r="M74" s="84">
        <f t="shared" si="39"/>
        <v>-30.05218713908674</v>
      </c>
      <c r="N74" s="84">
        <f t="shared" si="40"/>
        <v>321.91957479725147</v>
      </c>
      <c r="O74" s="84">
        <f t="shared" si="28"/>
        <v>-38.080425202748529</v>
      </c>
    </row>
    <row r="75" spans="1:15" ht="15" x14ac:dyDescent="0.2">
      <c r="A75" s="85">
        <f t="shared" si="41"/>
        <v>74</v>
      </c>
      <c r="B75" s="84">
        <f t="shared" si="42"/>
        <v>37000</v>
      </c>
      <c r="C75" s="84">
        <f t="shared" si="29"/>
        <v>359.4445390070922</v>
      </c>
      <c r="D75" s="58" t="str">
        <f t="shared" si="30"/>
        <v>0.000234317005456531-0.000032505495369293i</v>
      </c>
      <c r="E75" s="58" t="str">
        <f t="shared" si="31"/>
        <v>-0.329983585977756-0.410261850846i</v>
      </c>
      <c r="F75" s="84" t="str">
        <f t="shared" si="32"/>
        <v>-0.0000906565304089877-0.000085405048417346i</v>
      </c>
      <c r="G75" s="84" t="str">
        <f t="shared" si="33"/>
        <v>-0.032585994780841-0.0306983782572513i</v>
      </c>
      <c r="H75" s="87">
        <f t="shared" si="34"/>
        <v>4.4768710987499703E-2</v>
      </c>
      <c r="I75" s="58" t="str">
        <f t="shared" si="35"/>
        <v>4.62962962962962-0.0618936508738323i</v>
      </c>
      <c r="J75" s="89" t="str">
        <f t="shared" si="36"/>
        <v>0.0211686396178489-0.143946268845631i</v>
      </c>
      <c r="K75" s="89" t="str">
        <f t="shared" si="37"/>
        <v>0.0890936010852224-0.667728115712345i</v>
      </c>
      <c r="L75" s="89" t="str">
        <f t="shared" si="38"/>
        <v>-0.0234013738891086+0.0190235558272085i</v>
      </c>
      <c r="M75" s="84">
        <f t="shared" si="39"/>
        <v>-30.411877578847573</v>
      </c>
      <c r="N75" s="84">
        <f t="shared" si="40"/>
        <v>320.89148535120938</v>
      </c>
      <c r="O75" s="84">
        <f t="shared" si="28"/>
        <v>-39.108514648790617</v>
      </c>
    </row>
    <row r="76" spans="1:15" ht="15" x14ac:dyDescent="0.2">
      <c r="A76" s="85">
        <f t="shared" si="41"/>
        <v>75</v>
      </c>
      <c r="B76" s="84">
        <f t="shared" si="42"/>
        <v>37500</v>
      </c>
      <c r="C76" s="84">
        <f t="shared" si="29"/>
        <v>359.4445390070922</v>
      </c>
      <c r="D76" s="58" t="str">
        <f t="shared" si="30"/>
        <v>0.00023431697746162-0.0000320720887652672i</v>
      </c>
      <c r="E76" s="58" t="str">
        <f t="shared" si="31"/>
        <v>-0.327868852459016-0.39344262295082i</v>
      </c>
      <c r="F76" s="84" t="str">
        <f t="shared" si="32"/>
        <v>-0.0000894437652393247-0.0000816748472749761i</v>
      </c>
      <c r="G76" s="84" t="str">
        <f t="shared" si="33"/>
        <v>-0.0321500729635076-0.0293575778272284i</v>
      </c>
      <c r="H76" s="87">
        <f t="shared" si="34"/>
        <v>4.3537277905728505E-2</v>
      </c>
      <c r="I76" s="58" t="str">
        <f t="shared" si="35"/>
        <v>4.62962962962962-0.0610684021955145i</v>
      </c>
      <c r="J76" s="89" t="str">
        <f t="shared" si="36"/>
        <v>0.0206194679064958-0.142106669265551i</v>
      </c>
      <c r="K76" s="89" t="str">
        <f t="shared" si="37"/>
        <v>0.0867822723337364-0.659160444558943i</v>
      </c>
      <c r="L76" s="89" t="str">
        <f t="shared" si="38"/>
        <v>-0.0221414104392383+0.0186443390731667i</v>
      </c>
      <c r="M76" s="84">
        <f t="shared" si="39"/>
        <v>-30.768319451258019</v>
      </c>
      <c r="N76" s="84">
        <f t="shared" si="40"/>
        <v>319.90069615734461</v>
      </c>
      <c r="O76" s="84">
        <f t="shared" si="28"/>
        <v>-40.099303842655388</v>
      </c>
    </row>
    <row r="77" spans="1:15" ht="15" x14ac:dyDescent="0.2">
      <c r="A77" s="85">
        <f t="shared" si="41"/>
        <v>76</v>
      </c>
      <c r="B77" s="84">
        <f t="shared" si="42"/>
        <v>38000</v>
      </c>
      <c r="C77" s="84">
        <f t="shared" si="29"/>
        <v>359.4445390070922</v>
      </c>
      <c r="D77" s="58" t="str">
        <f t="shared" si="30"/>
        <v>0.000234316950564484-0.0000316500875981546i</v>
      </c>
      <c r="E77" s="58" t="str">
        <f t="shared" si="31"/>
        <v>-0.325359237914116-0.377400825419304i</v>
      </c>
      <c r="F77" s="84" t="str">
        <f t="shared" si="32"/>
        <v>-0.0000881819536501569-0.0000781337621719199i</v>
      </c>
      <c r="G77" s="84" t="str">
        <f t="shared" si="33"/>
        <v>-0.0316965216785254-0.0280847541247755i</v>
      </c>
      <c r="H77" s="87">
        <f t="shared" si="34"/>
        <v>4.2348824077727644E-2</v>
      </c>
      <c r="I77" s="58" t="str">
        <f t="shared" si="35"/>
        <v>4.62962962962964-0.0602648705876791i</v>
      </c>
      <c r="J77" s="89" t="str">
        <f t="shared" si="36"/>
        <v>0.0200912503252463-0.140312479792835i</v>
      </c>
      <c r="K77" s="89" t="str">
        <f t="shared" si="37"/>
        <v>0.0845591343655149-0.650805610456515i</v>
      </c>
      <c r="L77" s="89" t="str">
        <f t="shared" si="38"/>
        <v>-0.0209579459882295+0.0182534516426815i</v>
      </c>
      <c r="M77" s="84">
        <f t="shared" si="39"/>
        <v>-31.121442424446112</v>
      </c>
      <c r="N77" s="84">
        <f t="shared" si="40"/>
        <v>318.94556438109396</v>
      </c>
      <c r="O77" s="84">
        <f t="shared" si="28"/>
        <v>-41.054435618906041</v>
      </c>
    </row>
    <row r="78" spans="1:15" ht="15" x14ac:dyDescent="0.2">
      <c r="A78" s="85">
        <f t="shared" si="41"/>
        <v>77</v>
      </c>
      <c r="B78" s="84">
        <f t="shared" si="42"/>
        <v>38500</v>
      </c>
      <c r="C78" s="84">
        <f t="shared" si="29"/>
        <v>359.4445390070922</v>
      </c>
      <c r="D78" s="58" t="str">
        <f t="shared" si="30"/>
        <v>0.00023431692470847-0.0000312390475002852i</v>
      </c>
      <c r="E78" s="58" t="str">
        <f t="shared" si="31"/>
        <v>-0.322510365759674-0.362107001509111i</v>
      </c>
      <c r="F78" s="84" t="str">
        <f t="shared" si="32"/>
        <v>-0.0000868815149117396-0.0000747728823737194i</v>
      </c>
      <c r="G78" s="84" t="str">
        <f t="shared" si="33"/>
        <v>-0.031229086075688-0.0268767042350531i</v>
      </c>
      <c r="H78" s="87">
        <f t="shared" si="34"/>
        <v>4.1202100039454924E-2</v>
      </c>
      <c r="I78" s="58" t="str">
        <f t="shared" si="35"/>
        <v>4.62962962962964-0.0594822099306962i</v>
      </c>
      <c r="J78" s="89" t="str">
        <f t="shared" si="36"/>
        <v>0.0195829413193412-0.138562078970491i</v>
      </c>
      <c r="K78" s="89" t="str">
        <f t="shared" si="37"/>
        <v>0.0824197866975641-0.642655942971485i</v>
      </c>
      <c r="L78" s="89" t="str">
        <f t="shared" si="38"/>
        <v>-0.0198463683172618+0.0178543855299223i</v>
      </c>
      <c r="M78" s="84">
        <f t="shared" si="39"/>
        <v>-31.471191899398015</v>
      </c>
      <c r="N78" s="84">
        <f t="shared" si="40"/>
        <v>318.024506522764</v>
      </c>
      <c r="O78" s="84">
        <f t="shared" si="28"/>
        <v>-41.975493477236</v>
      </c>
    </row>
    <row r="79" spans="1:15" ht="15" x14ac:dyDescent="0.2">
      <c r="A79" s="85">
        <f t="shared" si="41"/>
        <v>78</v>
      </c>
      <c r="B79" s="84">
        <f t="shared" si="42"/>
        <v>39000</v>
      </c>
      <c r="C79" s="84">
        <f t="shared" si="29"/>
        <v>359.4445390070922</v>
      </c>
      <c r="D79" s="58" t="str">
        <f t="shared" si="30"/>
        <v>0.000234316899840529-0.0000308385468920743i</v>
      </c>
      <c r="E79" s="58" t="str">
        <f t="shared" si="31"/>
        <v>-0.319372023352939-0.34753094059053i</v>
      </c>
      <c r="F79" s="84" t="str">
        <f t="shared" si="32"/>
        <v>-0.0000855516116157055-0.0000715834034796498i</v>
      </c>
      <c r="G79" s="84" t="str">
        <f t="shared" si="33"/>
        <v>-0.0307510595985211-0.0257302634643014i</v>
      </c>
      <c r="H79" s="87">
        <f t="shared" si="34"/>
        <v>4.0095811805900126E-2</v>
      </c>
      <c r="I79" s="58" t="str">
        <f t="shared" si="35"/>
        <v>4.62962962962963-0.0587196174956872i</v>
      </c>
      <c r="J79" s="89" t="str">
        <f t="shared" si="36"/>
        <v>0.0190935593080799-0.13685391956765i</v>
      </c>
      <c r="K79" s="89" t="str">
        <f t="shared" si="37"/>
        <v>0.0803600980979794-0.634704127460544i</v>
      </c>
      <c r="L79" s="89" t="str">
        <f t="shared" si="38"/>
        <v>-0.0188022625873933+0.0174501379548884i</v>
      </c>
      <c r="M79" s="84">
        <f t="shared" si="39"/>
        <v>-31.817527267864051</v>
      </c>
      <c r="N79" s="84">
        <f t="shared" si="40"/>
        <v>317.13600037973441</v>
      </c>
      <c r="O79" s="84">
        <f t="shared" si="28"/>
        <v>-42.863999620265588</v>
      </c>
    </row>
    <row r="80" spans="1:15" ht="15" x14ac:dyDescent="0.2">
      <c r="A80" s="85">
        <f t="shared" si="41"/>
        <v>79</v>
      </c>
      <c r="B80" s="84">
        <f t="shared" si="42"/>
        <v>39500</v>
      </c>
      <c r="C80" s="84">
        <f t="shared" si="29"/>
        <v>359.4445390070922</v>
      </c>
      <c r="D80" s="58" t="str">
        <f t="shared" si="30"/>
        <v>0.00023431687591095-0.0000304481855397389i</v>
      </c>
      <c r="E80" s="58" t="str">
        <f t="shared" si="31"/>
        <v>-0.315988661370671-0.333642131091727i</v>
      </c>
      <c r="F80" s="84" t="str">
        <f t="shared" si="32"/>
        <v>-0.0000842002734670135-0.0000685567004398172i</v>
      </c>
      <c r="G80" s="84" t="str">
        <f t="shared" si="33"/>
        <v>-0.0302653284806218-0.0246423315854374i</v>
      </c>
      <c r="H80" s="87">
        <f t="shared" si="34"/>
        <v>3.9028638382687435E-2</v>
      </c>
      <c r="I80" s="58" t="str">
        <f t="shared" si="35"/>
        <v>4.62962962962963-0.0579763311982734i</v>
      </c>
      <c r="J80" s="89" t="str">
        <f t="shared" si="36"/>
        <v>0.0186221820761433-0.135186524516559i</v>
      </c>
      <c r="K80" s="89" t="str">
        <f t="shared" si="37"/>
        <v>0.0783761871891553-0.626943185224195i</v>
      </c>
      <c r="L80" s="89" t="str">
        <f t="shared" si="38"/>
        <v>-0.0178214229058634+0.0170432694463801i</v>
      </c>
      <c r="M80" s="84">
        <f t="shared" si="39"/>
        <v>-32.160420317410711</v>
      </c>
      <c r="N80" s="84">
        <f t="shared" si="40"/>
        <v>316.27858601193407</v>
      </c>
      <c r="O80" s="84">
        <f t="shared" si="28"/>
        <v>-43.721413988065933</v>
      </c>
    </row>
    <row r="81" spans="1:18" ht="15" x14ac:dyDescent="0.2">
      <c r="A81" s="85">
        <f t="shared" si="41"/>
        <v>80</v>
      </c>
      <c r="B81" s="84">
        <f t="shared" si="42"/>
        <v>40000</v>
      </c>
      <c r="C81" s="84">
        <f t="shared" si="29"/>
        <v>359.4445390070922</v>
      </c>
      <c r="D81" s="58" t="str">
        <f t="shared" si="30"/>
        <v>0.00023431685287311-0.0000300675832211849i</v>
      </c>
      <c r="E81" s="58" t="str">
        <f t="shared" si="31"/>
        <v>-0.31239987183595-0.320410124959949i</v>
      </c>
      <c r="F81" s="84" t="str">
        <f t="shared" si="32"/>
        <v>-0.0000828345129037062-0.0000656843829645802i</v>
      </c>
      <c r="G81" s="84" t="str">
        <f t="shared" si="33"/>
        <v>-0.0297744133045497-0.0236098927546688i</v>
      </c>
      <c r="H81" s="87">
        <f t="shared" si="34"/>
        <v>3.7999246354593778E-2</v>
      </c>
      <c r="I81" s="58" t="str">
        <f t="shared" si="35"/>
        <v>4.62962962962962-0.0572516270582949i</v>
      </c>
      <c r="J81" s="89" t="str">
        <f t="shared" si="36"/>
        <v>0.0181679425449875-0.133558483102608i</v>
      </c>
      <c r="K81" s="89" t="str">
        <f t="shared" si="37"/>
        <v>0.0764644046506206-0.619366454931223i</v>
      </c>
      <c r="L81" s="89" t="str">
        <f t="shared" si="38"/>
        <v>-0.0168998583639195+0.0166359564227452i</v>
      </c>
      <c r="M81" s="84">
        <f t="shared" si="39"/>
        <v>-32.499853778619951</v>
      </c>
      <c r="N81" s="84">
        <f t="shared" si="40"/>
        <v>315.45086590052165</v>
      </c>
      <c r="O81" s="84">
        <f t="shared" si="28"/>
        <v>-44.549134099478351</v>
      </c>
    </row>
    <row r="82" spans="1:18" ht="15" x14ac:dyDescent="0.2">
      <c r="A82" s="85">
        <f t="shared" si="41"/>
        <v>81</v>
      </c>
      <c r="B82" s="84">
        <f t="shared" si="42"/>
        <v>40500</v>
      </c>
      <c r="C82" s="84">
        <f t="shared" si="29"/>
        <v>359.4445390070922</v>
      </c>
      <c r="D82" s="58" t="str">
        <f t="shared" si="30"/>
        <v>0.000234316830683245-0.0000296963784907183i</v>
      </c>
      <c r="E82" s="58" t="str">
        <f t="shared" si="31"/>
        <v>-0.308640839982196-0.307804826872173i</v>
      </c>
      <c r="F82" s="84" t="str">
        <f t="shared" si="32"/>
        <v>-0.0000814604320841088-0.000062958336299888i</v>
      </c>
      <c r="G82" s="84" t="str">
        <f t="shared" si="33"/>
        <v>-0.029280507457791-0.0226300301679667i</v>
      </c>
      <c r="H82" s="87">
        <f t="shared" si="34"/>
        <v>3.7006301928034328E-2</v>
      </c>
      <c r="I82" s="58" t="str">
        <f t="shared" si="35"/>
        <v>4.62962962962962-0.0565448168476986i</v>
      </c>
      <c r="J82" s="89" t="str">
        <f t="shared" si="36"/>
        <v>0.0177300248891563-0.131968447390224i</v>
      </c>
      <c r="K82" s="89" t="str">
        <f t="shared" si="37"/>
        <v>0.0746213168735533-0.611967575224061i</v>
      </c>
      <c r="L82" s="89" t="str">
        <f t="shared" si="38"/>
        <v>-0.0160337947143642+0.0162300384982525i</v>
      </c>
      <c r="M82" s="84">
        <f t="shared" si="39"/>
        <v>-32.835820007595196</v>
      </c>
      <c r="N82" s="84">
        <f t="shared" si="40"/>
        <v>314.65150446199152</v>
      </c>
      <c r="O82" s="84">
        <f t="shared" si="28"/>
        <v>-45.348495538008478</v>
      </c>
    </row>
    <row r="83" spans="1:18" ht="15" x14ac:dyDescent="0.2">
      <c r="A83" s="85">
        <f t="shared" si="41"/>
        <v>82</v>
      </c>
      <c r="B83" s="84">
        <f t="shared" si="42"/>
        <v>41000</v>
      </c>
      <c r="C83" s="84">
        <f t="shared" si="29"/>
        <v>359.4445390070922</v>
      </c>
      <c r="D83" s="58" t="str">
        <f t="shared" si="30"/>
        <v>0.000234316809300244-0.0000293342275341419i</v>
      </c>
      <c r="E83" s="58" t="str">
        <f t="shared" si="31"/>
        <v>-0.304742767092029-0.295796719952017i</v>
      </c>
      <c r="F83" s="84" t="str">
        <f t="shared" si="32"/>
        <v>-0.0000800833211292569-0.0000603707499513729i</v>
      </c>
      <c r="G83" s="84" t="str">
        <f t="shared" si="33"/>
        <v>-0.0287855124454627-0.0216999363857837i</v>
      </c>
      <c r="H83" s="87">
        <f t="shared" si="34"/>
        <v>3.6048480770969359E-2</v>
      </c>
      <c r="I83" s="58" t="str">
        <f t="shared" si="35"/>
        <v>4.62962962962964-0.0558552459105318i</v>
      </c>
      <c r="J83" s="89" t="str">
        <f t="shared" si="36"/>
        <v>0.0173076609659557-0.130415128868714i</v>
      </c>
      <c r="K83" s="89" t="str">
        <f t="shared" si="37"/>
        <v>0.0728436909341572-0.604740468421956i</v>
      </c>
      <c r="L83" s="89" t="str">
        <f t="shared" si="38"/>
        <v>-0.0152196726666241+0.0158270608206583i</v>
      </c>
      <c r="M83" s="84">
        <f t="shared" si="39"/>
        <v>-33.168319795759345</v>
      </c>
      <c r="N83" s="84">
        <f t="shared" si="40"/>
        <v>313.879227055115</v>
      </c>
      <c r="O83" s="84">
        <f t="shared" si="28"/>
        <v>-46.120772944885005</v>
      </c>
    </row>
    <row r="84" spans="1:18" ht="15" x14ac:dyDescent="0.2">
      <c r="A84" s="85">
        <f t="shared" si="41"/>
        <v>83</v>
      </c>
      <c r="B84" s="84">
        <f t="shared" si="42"/>
        <v>41500</v>
      </c>
      <c r="C84" s="84">
        <f t="shared" si="29"/>
        <v>359.4445390070922</v>
      </c>
      <c r="D84" s="58" t="str">
        <f t="shared" si="30"/>
        <v>0.000234316788685458-0.0000289808031066173i</v>
      </c>
      <c r="E84" s="58" t="str">
        <f t="shared" si="31"/>
        <v>-0.300733262929728-0.284357038313596i</v>
      </c>
      <c r="F84" s="84" t="str">
        <f t="shared" si="32"/>
        <v>-0.0000787077477599405-0.0000579141365771725i</v>
      </c>
      <c r="G84" s="84" t="str">
        <f t="shared" si="33"/>
        <v>-0.0282910701098583-0.0208169201239755i</v>
      </c>
      <c r="H84" s="87">
        <f t="shared" si="34"/>
        <v>3.5124475959206765E-2</v>
      </c>
      <c r="I84" s="58" t="str">
        <f t="shared" si="35"/>
        <v>4.62962962962964-0.0551822911405253i</v>
      </c>
      <c r="J84" s="89" t="str">
        <f t="shared" si="36"/>
        <v>0.0169001270301143-0.1288972953032i</v>
      </c>
      <c r="K84" s="89" t="str">
        <f t="shared" si="37"/>
        <v>0.0711284807664745-0.597679325244904i</v>
      </c>
      <c r="L84" s="89" t="str">
        <f t="shared" si="38"/>
        <v>-0.0144541436095468+0.015428311791061i</v>
      </c>
      <c r="M84" s="84">
        <f t="shared" si="39"/>
        <v>-33.497361298277006</v>
      </c>
      <c r="N84" s="84">
        <f t="shared" si="40"/>
        <v>313.13281859622327</v>
      </c>
      <c r="O84" s="84">
        <f t="shared" si="28"/>
        <v>-46.867181403776726</v>
      </c>
      <c r="P84" s="84">
        <v>-27.673999999999999</v>
      </c>
      <c r="Q84" s="84">
        <v>318.15300000000002</v>
      </c>
      <c r="R84" s="84">
        <f>B84</f>
        <v>41500</v>
      </c>
    </row>
    <row r="85" spans="1:18" ht="15" x14ac:dyDescent="0.2">
      <c r="A85" s="85">
        <f t="shared" si="41"/>
        <v>84</v>
      </c>
      <c r="B85" s="84">
        <f t="shared" si="42"/>
        <v>42000</v>
      </c>
      <c r="C85" s="84">
        <f t="shared" si="29"/>
        <v>359.4445390070922</v>
      </c>
      <c r="D85" s="58" t="str">
        <f t="shared" si="30"/>
        <v>0.000234316768802522-0.0000286357935463937i</v>
      </c>
      <c r="E85" s="58" t="str">
        <f t="shared" si="31"/>
        <v>-0.296636707487767-0.273457895401365i</v>
      </c>
      <c r="F85" s="84" t="str">
        <f t="shared" si="32"/>
        <v>-0.0000773376386430972-0.0000555813429400842i</v>
      </c>
      <c r="G85" s="84" t="str">
        <f t="shared" si="33"/>
        <v>-0.0277985918699651-0.0199784101904937i</v>
      </c>
      <c r="H85" s="87">
        <f t="shared" si="34"/>
        <v>3.4233004304216601E-2</v>
      </c>
      <c r="I85" s="58" t="str">
        <f t="shared" si="35"/>
        <v>4.62962962962963-0.0545253591031381i</v>
      </c>
      <c r="J85" s="89" t="str">
        <f t="shared" si="36"/>
        <v>0.0165067407078985-0.12741376777688i</v>
      </c>
      <c r="K85" s="89" t="str">
        <f t="shared" si="37"/>
        <v>0.0694728144271822-0.590778590487313i</v>
      </c>
      <c r="L85" s="89" t="str">
        <f t="shared" si="38"/>
        <v>-0.0137340634268363+0.0150348565387558i</v>
      </c>
      <c r="M85" s="84">
        <f t="shared" si="39"/>
        <v>-33.82295907216465</v>
      </c>
      <c r="N85" s="84">
        <f t="shared" si="40"/>
        <v>312.41112187921271</v>
      </c>
      <c r="O85" s="84">
        <f t="shared" si="28"/>
        <v>-47.588878120787285</v>
      </c>
    </row>
    <row r="86" spans="1:18" ht="15" x14ac:dyDescent="0.2">
      <c r="A86" s="85">
        <f t="shared" si="41"/>
        <v>85</v>
      </c>
      <c r="B86" s="84">
        <f t="shared" si="42"/>
        <v>42500</v>
      </c>
      <c r="C86" s="84">
        <f t="shared" si="29"/>
        <v>359.4445390070922</v>
      </c>
      <c r="D86" s="58" t="str">
        <f t="shared" si="30"/>
        <v>0.000234316749617201-0.0000282989018581556i</v>
      </c>
      <c r="E86" s="58" t="str">
        <f t="shared" si="31"/>
        <v>-0.292474582566039-0.263072375853051i</v>
      </c>
      <c r="F86" s="84" t="str">
        <f t="shared" si="32"/>
        <v>-0.0000759763528783792-0.0000533655545159202i</v>
      </c>
      <c r="G86" s="84" t="str">
        <f t="shared" si="33"/>
        <v>-0.0273092851358092-0.0191819571418328i</v>
      </c>
      <c r="H86" s="87">
        <f t="shared" si="34"/>
        <v>3.3372811305313187E-2</v>
      </c>
      <c r="I86" s="58" t="str">
        <f t="shared" si="35"/>
        <v>4.62962962962963-0.0538838842901599i</v>
      </c>
      <c r="J86" s="89" t="str">
        <f t="shared" si="36"/>
        <v>0.0161268582076723-0.125963417911797i</v>
      </c>
      <c r="K86" s="89" t="str">
        <f t="shared" si="37"/>
        <v>0.0678739823555231-0.584032949575501i</v>
      </c>
      <c r="L86" s="89" t="str">
        <f t="shared" si="38"/>
        <v>-0.0130564849456253+0.0146475665280759i</v>
      </c>
      <c r="M86" s="84">
        <f t="shared" si="39"/>
        <v>-34.145133215174639</v>
      </c>
      <c r="N86" s="84">
        <f t="shared" si="40"/>
        <v>311.71303568009301</v>
      </c>
      <c r="O86" s="84">
        <f t="shared" si="28"/>
        <v>-48.286964319906986</v>
      </c>
    </row>
    <row r="87" spans="1:18" ht="15" x14ac:dyDescent="0.2">
      <c r="A87" s="85">
        <f t="shared" si="41"/>
        <v>86</v>
      </c>
      <c r="B87" s="84">
        <f t="shared" si="42"/>
        <v>43000</v>
      </c>
      <c r="C87" s="84">
        <f t="shared" si="29"/>
        <v>359.4445390070922</v>
      </c>
      <c r="D87" s="58" t="str">
        <f t="shared" si="30"/>
        <v>0.000234316731097237-0.0000279698448603231i</v>
      </c>
      <c r="E87" s="58" t="str">
        <f t="shared" si="31"/>
        <v>-0.288265774261145-0.253174597492427i</v>
      </c>
      <c r="F87" s="84" t="str">
        <f t="shared" si="32"/>
        <v>-0.0000746267481265235-0.0000512602950966591i</v>
      </c>
      <c r="G87" s="84" t="str">
        <f t="shared" si="33"/>
        <v>-0.0268241770779366-0.0184252331403861i</v>
      </c>
      <c r="H87" s="87">
        <f t="shared" si="34"/>
        <v>3.2542674939010183E-2</v>
      </c>
      <c r="I87" s="58" t="str">
        <f t="shared" si="35"/>
        <v>4.62962962962963-0.0532573274960883i</v>
      </c>
      <c r="J87" s="89" t="str">
        <f t="shared" si="36"/>
        <v>0.0157598717461524-0.124545165256212i</v>
      </c>
      <c r="K87" s="89" t="str">
        <f t="shared" si="37"/>
        <v>0.0663294265410455-0.577437315948159i</v>
      </c>
      <c r="L87" s="89" t="str">
        <f t="shared" si="38"/>
        <v>-0.0124186494533186+0.014267145666315i</v>
      </c>
      <c r="M87" s="84">
        <f t="shared" si="39"/>
        <v>-34.463908596763098</v>
      </c>
      <c r="N87" s="84">
        <f t="shared" si="40"/>
        <v>311.03751271169995</v>
      </c>
      <c r="O87" s="84">
        <f t="shared" si="28"/>
        <v>-48.962487288300053</v>
      </c>
    </row>
    <row r="88" spans="1:18" ht="15" x14ac:dyDescent="0.2">
      <c r="A88" s="85">
        <f t="shared" si="41"/>
        <v>87</v>
      </c>
      <c r="B88" s="84">
        <f t="shared" si="42"/>
        <v>43500</v>
      </c>
      <c r="C88" s="84">
        <f t="shared" si="29"/>
        <v>359.4445390070922</v>
      </c>
      <c r="D88" s="58" t="str">
        <f t="shared" si="30"/>
        <v>0.000234316713212214-0.0000276483523911588i</v>
      </c>
      <c r="E88" s="58" t="str">
        <f t="shared" si="31"/>
        <v>-0.284026847815692-0.243739749062588i</v>
      </c>
      <c r="F88" s="84" t="str">
        <f t="shared" si="32"/>
        <v>-0.0000732912399180137-0.0000492594225025571i</v>
      </c>
      <c r="G88" s="84" t="str">
        <f t="shared" si="33"/>
        <v>-0.0263441359455886-0.0177060304131872i</v>
      </c>
      <c r="H88" s="87">
        <f t="shared" si="34"/>
        <v>3.1741408470834488E-2</v>
      </c>
      <c r="I88" s="58" t="str">
        <f t="shared" si="35"/>
        <v>4.62962962962962-0.052645174306478i</v>
      </c>
      <c r="J88" s="89" t="str">
        <f t="shared" si="36"/>
        <v>0.0154052071716188-0.123157974827529i</v>
      </c>
      <c r="K88" s="89" t="str">
        <f t="shared" si="37"/>
        <v>0.064836730520281-0.570986819203484i</v>
      </c>
      <c r="L88" s="89" t="str">
        <f t="shared" si="38"/>
        <v>-0.0118179776294397+0.0138941532657521i</v>
      </c>
      <c r="M88" s="84">
        <f t="shared" si="39"/>
        <v>-34.779314172815802</v>
      </c>
      <c r="N88" s="84">
        <f t="shared" si="40"/>
        <v>310.38355748208119</v>
      </c>
      <c r="O88" s="84">
        <f t="shared" si="28"/>
        <v>-49.616442517918813</v>
      </c>
    </row>
    <row r="89" spans="1:18" ht="15" x14ac:dyDescent="0.2">
      <c r="A89" s="85">
        <f t="shared" si="41"/>
        <v>88</v>
      </c>
      <c r="B89" s="84">
        <f t="shared" si="42"/>
        <v>44000</v>
      </c>
      <c r="C89" s="84">
        <f t="shared" si="29"/>
        <v>359.4445390070922</v>
      </c>
      <c r="D89" s="58" t="str">
        <f t="shared" si="30"/>
        <v>0.000234316695933437-0.0000273341665690044i</v>
      </c>
      <c r="E89" s="58" t="str">
        <f t="shared" si="31"/>
        <v>-0.279772296507588-0.234744108435047i</v>
      </c>
      <c r="F89" s="84" t="str">
        <f t="shared" si="32"/>
        <v>-0.0000719718546924239-0.0000473571213242094i</v>
      </c>
      <c r="G89" s="84" t="str">
        <f t="shared" si="33"/>
        <v>-0.0258698901314037-0.0170222586430834i</v>
      </c>
      <c r="H89" s="87">
        <f t="shared" si="34"/>
        <v>3.0967862450013015E-2</v>
      </c>
      <c r="I89" s="58" t="str">
        <f t="shared" si="35"/>
        <v>4.62962962962964-0.0520469336893592i</v>
      </c>
      <c r="J89" s="89" t="str">
        <f t="shared" si="36"/>
        <v>0.0150623217671438-0.121800854800477i</v>
      </c>
      <c r="K89" s="89" t="str">
        <f t="shared" si="37"/>
        <v>0.0633936101310767-0.564676793960728i</v>
      </c>
      <c r="L89" s="89" t="str">
        <f t="shared" si="38"/>
        <v>-0.0112520601656706+0.0135290241915473i</v>
      </c>
      <c r="M89" s="84">
        <f t="shared" si="39"/>
        <v>-35.091382376266111</v>
      </c>
      <c r="N89" s="84">
        <f t="shared" si="40"/>
        <v>309.75022409982114</v>
      </c>
      <c r="O89" s="84">
        <f t="shared" si="28"/>
        <v>-50.249775900178861</v>
      </c>
    </row>
    <row r="90" spans="1:18" ht="15" x14ac:dyDescent="0.2">
      <c r="A90" s="85">
        <f t="shared" si="41"/>
        <v>89</v>
      </c>
      <c r="B90" s="84">
        <f t="shared" si="42"/>
        <v>44500</v>
      </c>
      <c r="C90" s="84">
        <f t="shared" si="29"/>
        <v>359.4445390070922</v>
      </c>
      <c r="D90" s="58" t="str">
        <f t="shared" si="30"/>
        <v>0.000234316679233813-0.0000270270411023884i</v>
      </c>
      <c r="E90" s="58" t="str">
        <f t="shared" si="31"/>
        <v>-0.275514766381876-0.226165045268281i</v>
      </c>
      <c r="F90" s="84" t="str">
        <f t="shared" si="32"/>
        <v>-0.0000706702771128703-0.0000455478934507107i</v>
      </c>
      <c r="G90" s="84" t="str">
        <f t="shared" si="33"/>
        <v>-0.0254020451783391-0.0163719415641349i</v>
      </c>
      <c r="H90" s="87">
        <f t="shared" si="34"/>
        <v>3.0220926025220151E-2</v>
      </c>
      <c r="I90" s="58" t="str">
        <f t="shared" si="35"/>
        <v>4.62962962962964-0.0514621366816135i</v>
      </c>
      <c r="J90" s="89" t="str">
        <f t="shared" si="36"/>
        <v>0.0147307022185119-0.120472854331013i</v>
      </c>
      <c r="K90" s="89" t="str">
        <f t="shared" si="37"/>
        <v>0.0619979049600671-0.558502769387899i</v>
      </c>
      <c r="L90" s="89" t="str">
        <f t="shared" si="38"/>
        <v>-0.0107186482865842+0.0131720865031139i</v>
      </c>
      <c r="M90" s="84">
        <f t="shared" si="39"/>
        <v>-35.400148576247965</v>
      </c>
      <c r="N90" s="84">
        <f t="shared" si="40"/>
        <v>309.13661406094195</v>
      </c>
      <c r="O90" s="84">
        <f t="shared" si="28"/>
        <v>-50.863385939058048</v>
      </c>
    </row>
    <row r="91" spans="1:18" ht="15" x14ac:dyDescent="0.2">
      <c r="A91" s="85">
        <f t="shared" si="41"/>
        <v>90</v>
      </c>
      <c r="B91" s="84">
        <f t="shared" si="42"/>
        <v>45000</v>
      </c>
      <c r="C91" s="84">
        <f t="shared" si="29"/>
        <v>359.4445390070922</v>
      </c>
      <c r="D91" s="58" t="str">
        <f t="shared" si="30"/>
        <v>0.000234316663087744-0.0000267267406461268i</v>
      </c>
      <c r="E91" s="58" t="str">
        <f t="shared" si="31"/>
        <v>-0.2712652586708-0.217981011431893i</v>
      </c>
      <c r="F91" s="84" t="str">
        <f t="shared" si="32"/>
        <v>-0.0000693878921816962-0.0000438265470004136i</v>
      </c>
      <c r="G91" s="84" t="str">
        <f t="shared" si="33"/>
        <v>-0.0249410989179236-0.0157532129828363i</v>
      </c>
      <c r="H91" s="87">
        <f t="shared" si="34"/>
        <v>2.9499527699884485E-2</v>
      </c>
      <c r="I91" s="58" t="str">
        <f t="shared" si="35"/>
        <v>4.62962962962963-0.0508903351629289i</v>
      </c>
      <c r="J91" s="89" t="str">
        <f t="shared" si="36"/>
        <v>0.0144098627329485-0.119173061507062i</v>
      </c>
      <c r="K91" s="89" t="str">
        <f t="shared" si="37"/>
        <v>0.0606475704248674-0.5524604593509i</v>
      </c>
      <c r="L91" s="89" t="str">
        <f t="shared" si="38"/>
        <v>-0.0102156443338487+0.0128235768711178i</v>
      </c>
      <c r="M91" s="84">
        <f t="shared" si="39"/>
        <v>-35.705650598963217</v>
      </c>
      <c r="N91" s="84">
        <f t="shared" si="40"/>
        <v>308.54187404480092</v>
      </c>
      <c r="O91" s="84">
        <f t="shared" si="28"/>
        <v>-51.45812595519908</v>
      </c>
    </row>
    <row r="92" spans="1:18" ht="15" x14ac:dyDescent="0.2">
      <c r="A92" s="85">
        <f t="shared" si="41"/>
        <v>91</v>
      </c>
      <c r="B92" s="84">
        <f t="shared" si="42"/>
        <v>45500</v>
      </c>
      <c r="C92" s="84">
        <f t="shared" si="29"/>
        <v>359.4445390070922</v>
      </c>
      <c r="D92" s="58" t="str">
        <f t="shared" si="30"/>
        <v>0.000234316647471034-0.000026433040199879i</v>
      </c>
      <c r="E92" s="58" t="str">
        <f t="shared" si="31"/>
        <v>-0.267033311733552-0.210171521949085i</v>
      </c>
      <c r="F92" s="84" t="str">
        <f t="shared" si="32"/>
        <v>-0.0000681258226570433-0.0000421881841532346i</v>
      </c>
      <c r="G92" s="84" t="str">
        <f t="shared" si="33"/>
        <v>-0.0244874549194398-0.0151643124045057i</v>
      </c>
      <c r="H92" s="87">
        <f t="shared" si="34"/>
        <v>2.8802635628237951E-2</v>
      </c>
      <c r="I92" s="58" t="str">
        <f t="shared" si="35"/>
        <v>4.62962962962963-0.050331100710589i</v>
      </c>
      <c r="J92" s="89" t="str">
        <f t="shared" si="36"/>
        <v>0.0140993432960703-0.117900601417846i</v>
      </c>
      <c r="K92" s="89" t="str">
        <f t="shared" si="37"/>
        <v>0.0593406704380063-0.546545753142601i</v>
      </c>
      <c r="L92" s="89" t="str">
        <f t="shared" si="38"/>
        <v>-0.00974109253625027+0.012483654026676i</v>
      </c>
      <c r="M92" s="84">
        <f t="shared" si="39"/>
        <v>-36.007928303984443</v>
      </c>
      <c r="N92" s="84">
        <f t="shared" si="40"/>
        <v>307.96519374039752</v>
      </c>
      <c r="O92" s="84">
        <f t="shared" si="28"/>
        <v>-52.034806259602476</v>
      </c>
    </row>
    <row r="93" spans="1:18" ht="15" x14ac:dyDescent="0.2">
      <c r="A93" s="85">
        <f t="shared" si="41"/>
        <v>92</v>
      </c>
      <c r="B93" s="84">
        <f t="shared" si="42"/>
        <v>46000</v>
      </c>
      <c r="C93" s="84">
        <f t="shared" si="29"/>
        <v>359.4445390070922</v>
      </c>
      <c r="D93" s="58" t="str">
        <f t="shared" si="30"/>
        <v>0.000234316632360791-0.0000261457245459277i</v>
      </c>
      <c r="E93" s="58" t="str">
        <f t="shared" si="31"/>
        <v>-0.262827164292679-0.202717128730101i</v>
      </c>
      <c r="F93" s="84" t="str">
        <f t="shared" si="32"/>
        <v>-0.0000668849622385155-0.0000406281882851025i</v>
      </c>
      <c r="G93" s="84" t="str">
        <f t="shared" si="33"/>
        <v>-0.02404143441833-0.014603580408832i</v>
      </c>
      <c r="H93" s="87">
        <f t="shared" si="34"/>
        <v>2.8129257538159161E-2</v>
      </c>
      <c r="I93" s="58" t="str">
        <f t="shared" si="35"/>
        <v>4.62962962962963-0.0497840235289521i</v>
      </c>
      <c r="J93" s="89" t="str">
        <f t="shared" si="36"/>
        <v>0.013798708055632-0.116654634334121i</v>
      </c>
      <c r="K93" s="89" t="str">
        <f t="shared" si="37"/>
        <v>0.0580753706045118-0.540754706753367i</v>
      </c>
      <c r="L93" s="89" t="str">
        <f t="shared" si="38"/>
        <v>-0.00929317005523574+0.0121524104744186i</v>
      </c>
      <c r="M93" s="84">
        <f t="shared" si="39"/>
        <v>-36.307023210248467</v>
      </c>
      <c r="N93" s="84">
        <f t="shared" si="40"/>
        <v>307.40580371952632</v>
      </c>
      <c r="O93" s="84">
        <f t="shared" si="28"/>
        <v>-52.594196280473682</v>
      </c>
    </row>
    <row r="94" spans="1:18" ht="15" x14ac:dyDescent="0.2">
      <c r="A94" s="85">
        <f t="shared" si="41"/>
        <v>93</v>
      </c>
      <c r="B94" s="84">
        <f t="shared" si="42"/>
        <v>46500</v>
      </c>
      <c r="C94" s="84">
        <f t="shared" si="29"/>
        <v>359.4445390070922</v>
      </c>
      <c r="D94" s="58" t="str">
        <f t="shared" si="30"/>
        <v>0.00023431661773535-0.0000258645877232315i</v>
      </c>
      <c r="E94" s="58" t="str">
        <f t="shared" si="31"/>
        <v>-0.258653901662655-0.195599388962652i</v>
      </c>
      <c r="F94" s="84" t="str">
        <f t="shared" si="32"/>
        <v>-0.0000656660049560801-0.0000391422107233199i</v>
      </c>
      <c r="G94" s="84" t="str">
        <f t="shared" si="33"/>
        <v>-0.0236032868798756-0.0140694538891622i</v>
      </c>
      <c r="H94" s="87">
        <f t="shared" si="34"/>
        <v>2.7478440353720386E-2</v>
      </c>
      <c r="I94" s="58" t="str">
        <f t="shared" si="35"/>
        <v>4.62962962962962-0.0492487114479956i</v>
      </c>
      <c r="J94" s="89" t="str">
        <f t="shared" si="36"/>
        <v>0.0135075438216917-0.115434353992201i</v>
      </c>
      <c r="K94" s="89" t="str">
        <f t="shared" si="37"/>
        <v>0.0568499319094767-0.535083534647494i</v>
      </c>
      <c r="L94" s="89" t="str">
        <f t="shared" si="38"/>
        <v>-0.00887017836953361+0.0118298826773803i</v>
      </c>
      <c r="M94" s="84">
        <f t="shared" si="39"/>
        <v>-36.602978166503348</v>
      </c>
      <c r="N94" s="84">
        <f t="shared" si="40"/>
        <v>306.86297336912054</v>
      </c>
      <c r="O94" s="84">
        <f t="shared" si="28"/>
        <v>-53.137026630879461</v>
      </c>
    </row>
    <row r="95" spans="1:18" ht="15" x14ac:dyDescent="0.2">
      <c r="A95" s="85">
        <f t="shared" si="41"/>
        <v>94</v>
      </c>
      <c r="B95" s="84">
        <f t="shared" si="42"/>
        <v>47000</v>
      </c>
      <c r="C95" s="84">
        <f t="shared" si="29"/>
        <v>359.4445390070922</v>
      </c>
      <c r="D95" s="58" t="str">
        <f t="shared" si="30"/>
        <v>0.000234316603574191-0.000025589432535049i</v>
      </c>
      <c r="E95" s="58" t="str">
        <f t="shared" si="31"/>
        <v>-0.254519586567639-0.188800829682434i</v>
      </c>
      <c r="F95" s="84" t="str">
        <f t="shared" si="32"/>
        <v>-0.0000644694711613564-0.0000377261573738561i</v>
      </c>
      <c r="G95" s="84" t="str">
        <f t="shared" si="33"/>
        <v>-0.0231731993416248-0.0135604612457547i</v>
      </c>
      <c r="H95" s="87">
        <f t="shared" si="34"/>
        <v>2.6849269578971702E-2</v>
      </c>
      <c r="I95" s="58" t="str">
        <f t="shared" si="35"/>
        <v>4.62962962962964-0.0487247889857831i</v>
      </c>
      <c r="J95" s="89" t="str">
        <f t="shared" si="36"/>
        <v>0.0132254586737571-0.114238985975129i</v>
      </c>
      <c r="K95" s="89" t="str">
        <f t="shared" si="37"/>
        <v>0.0556627048558802-0.529528602012421i</v>
      </c>
      <c r="L95" s="89" t="str">
        <f t="shared" si="38"/>
        <v>-0.00847053504162744+0.0115160598994937i</v>
      </c>
      <c r="M95" s="84">
        <f t="shared" si="39"/>
        <v>-36.895837061461776</v>
      </c>
      <c r="N95" s="84">
        <f t="shared" si="40"/>
        <v>306.33600889177779</v>
      </c>
      <c r="O95" s="84">
        <f t="shared" si="28"/>
        <v>-53.663991108222206</v>
      </c>
    </row>
    <row r="96" spans="1:18" ht="15" x14ac:dyDescent="0.2">
      <c r="A96" s="85">
        <f t="shared" si="41"/>
        <v>95</v>
      </c>
      <c r="B96" s="84">
        <f t="shared" si="42"/>
        <v>47500</v>
      </c>
      <c r="C96" s="84">
        <f t="shared" si="29"/>
        <v>359.4445390070922</v>
      </c>
      <c r="D96" s="58" t="str">
        <f t="shared" si="30"/>
        <v>0.000234316589857869-0.000025320070087659i</v>
      </c>
      <c r="E96" s="58" t="str">
        <f t="shared" si="31"/>
        <v>-0.250429376037459-0.18230490975907i</v>
      </c>
      <c r="F96" s="84" t="str">
        <f t="shared" si="32"/>
        <v>-0.0000632957304857553-0.0000363761754158147i</v>
      </c>
      <c r="G96" s="84" t="str">
        <f t="shared" si="33"/>
        <v>-0.0227513046655695-0.0130752176031786i</v>
      </c>
      <c r="H96" s="87">
        <f t="shared" si="34"/>
        <v>2.6240868494698037E-2</v>
      </c>
      <c r="I96" s="58" t="str">
        <f t="shared" si="35"/>
        <v>4.62962962962963-0.0482118964701432i</v>
      </c>
      <c r="J96" s="89" t="str">
        <f t="shared" si="36"/>
        <v>0.0129520806663216-0.113067786184814i</v>
      </c>
      <c r="K96" s="89" t="str">
        <f t="shared" si="37"/>
        <v>0.054512124016505-0.52408641745i</v>
      </c>
      <c r="L96" s="89" t="str">
        <f t="shared" si="38"/>
        <v>-0.00809276589249586+0.0112108918709645i</v>
      </c>
      <c r="M96" s="84">
        <f t="shared" si="39"/>
        <v>-37.18564456936771</v>
      </c>
      <c r="N96" s="84">
        <f t="shared" si="40"/>
        <v>305.82425138072949</v>
      </c>
      <c r="O96" s="84">
        <f t="shared" si="28"/>
        <v>-54.175748619270507</v>
      </c>
    </row>
    <row r="97" spans="1:18" ht="15" x14ac:dyDescent="0.2">
      <c r="A97" s="85">
        <f t="shared" si="41"/>
        <v>96</v>
      </c>
      <c r="B97" s="84">
        <f t="shared" si="42"/>
        <v>48000</v>
      </c>
      <c r="C97" s="84">
        <f t="shared" si="29"/>
        <v>359.4445390070922</v>
      </c>
      <c r="D97" s="58" t="str">
        <f t="shared" si="30"/>
        <v>0.000234316576567946-0.0000250563193579123i</v>
      </c>
      <c r="E97" s="58" t="str">
        <f t="shared" si="31"/>
        <v>-0.246387625758944-0.176095980292277i</v>
      </c>
      <c r="F97" s="84" t="str">
        <f t="shared" si="32"/>
        <v>-0.0000621450220963879-0.000035088640212609i</v>
      </c>
      <c r="G97" s="84" t="str">
        <f t="shared" si="33"/>
        <v>-0.0223376888190217-0.012612420105607i</v>
      </c>
      <c r="H97" s="87">
        <f t="shared" si="34"/>
        <v>2.5652397211484282E-2</v>
      </c>
      <c r="I97" s="58" t="str">
        <f t="shared" si="35"/>
        <v>4.62962962962963-0.0477096892152458i</v>
      </c>
      <c r="J97" s="89" t="str">
        <f t="shared" si="36"/>
        <v>0.0126870566249664-0.111920039399391i</v>
      </c>
      <c r="K97" s="89" t="str">
        <f t="shared" si="37"/>
        <v>0.0533967029670303-0.51875362608137i</v>
      </c>
      <c r="L97" s="89" t="str">
        <f t="shared" si="38"/>
        <v>-0.00773549759828446+0.0109142954230703i</v>
      </c>
      <c r="M97" s="84">
        <f t="shared" si="39"/>
        <v>-37.472445927104864</v>
      </c>
      <c r="N97" s="84">
        <f t="shared" si="40"/>
        <v>305.3270749733108</v>
      </c>
      <c r="O97" s="84">
        <f t="shared" si="28"/>
        <v>-54.6729250266892</v>
      </c>
    </row>
    <row r="98" spans="1:18" ht="15" x14ac:dyDescent="0.2">
      <c r="A98" s="85">
        <f t="shared" si="41"/>
        <v>97</v>
      </c>
      <c r="B98" s="84">
        <f t="shared" si="42"/>
        <v>48500</v>
      </c>
      <c r="C98" s="84">
        <f t="shared" si="29"/>
        <v>359.4445390070922</v>
      </c>
      <c r="D98" s="58" t="str">
        <f t="shared" si="30"/>
        <v>0.000234316563686928-0.0000247980067875316i</v>
      </c>
      <c r="E98" s="58" t="str">
        <f t="shared" si="31"/>
        <v>-0.242397983147737-0.170159244212842i</v>
      </c>
      <c r="F98" s="84" t="str">
        <f>IMPRODUCT(D98,E98)</f>
        <v>-0.0000610174725487709-0.0000338601425521364i</v>
      </c>
      <c r="G98" s="84" t="str">
        <f>IMPRODUCT(C98,F98)</f>
        <v>-0.0219323972916709-0.0121708433303671i</v>
      </c>
      <c r="H98" s="87">
        <f>IMABS(G98)</f>
        <v>2.5083051615224859E-2</v>
      </c>
      <c r="I98" s="58" t="str">
        <f t="shared" si="35"/>
        <v>4.62962962962963-0.0472178367491092i</v>
      </c>
      <c r="J98" s="89" t="str">
        <f t="shared" si="36"/>
        <v>0.0124300510258906-0.11079505791047i</v>
      </c>
      <c r="K98" s="89" t="str">
        <f>IMPRODUCT(I98,J98)</f>
        <v>0.0523150295702466-0.513527003038966i</v>
      </c>
      <c r="L98" s="89" t="str">
        <f>IMPRODUCT(G98,K98)</f>
        <v>-0.00739745071276037+0.0106261602219287i</v>
      </c>
      <c r="M98" s="84">
        <f>20*LOG(IMABS(L98))</f>
        <v>-37.756286739367077</v>
      </c>
      <c r="N98" s="84">
        <f t="shared" si="40"/>
        <v>304.84388508522198</v>
      </c>
      <c r="O98" s="84">
        <f t="shared" si="28"/>
        <v>-55.156114914778016</v>
      </c>
    </row>
    <row r="99" spans="1:18" ht="15" x14ac:dyDescent="0.2">
      <c r="A99" s="85">
        <f t="shared" si="41"/>
        <v>98</v>
      </c>
      <c r="B99" s="84">
        <f t="shared" si="42"/>
        <v>49000</v>
      </c>
      <c r="C99" s="84">
        <f t="shared" si="29"/>
        <v>359.4445390070922</v>
      </c>
      <c r="D99" s="58" t="str">
        <f t="shared" si="30"/>
        <v>0.000234316551198212-0.0000245449659022512i</v>
      </c>
      <c r="E99" s="58" t="str">
        <f t="shared" si="31"/>
        <v>-0.238463470296582-0.164480715716955i</v>
      </c>
      <c r="F99" s="84" t="str">
        <f>IMPRODUCT(D99,E99)</f>
        <v>-0.0000599131115055029-0.0000326874762980483i</v>
      </c>
      <c r="G99" s="84" t="str">
        <f>IMPRODUCT(C99,F99)</f>
        <v>-0.021535440745576-0.0117493348492572i</v>
      </c>
      <c r="H99" s="87">
        <f>IMABS(G99)</f>
        <v>2.4532062235087061E-2</v>
      </c>
      <c r="I99" s="58" t="str">
        <f t="shared" si="35"/>
        <v>4.62962962962963-0.046736022088404i</v>
      </c>
      <c r="J99" s="89" t="str">
        <f t="shared" si="36"/>
        <v>0.0121807449523591-0.10969218023526i</v>
      </c>
      <c r="K99" s="89" t="str">
        <f>IMPRODUCT(I99,J99)</f>
        <v>0.0512657615840029-0.50840344732098i</v>
      </c>
      <c r="L99" s="89" t="str">
        <f>IMPRODUCT(G99,K99)</f>
        <v>-0.00707743311196001+0.0103463537154749i</v>
      </c>
      <c r="M99" s="84">
        <f>20*LOG(IMABS(L99))</f>
        <v>-38.037212808767499</v>
      </c>
      <c r="N99" s="84">
        <f t="shared" si="40"/>
        <v>304.37411672646522</v>
      </c>
      <c r="O99" s="84">
        <f t="shared" si="28"/>
        <v>-55.625883273534782</v>
      </c>
    </row>
    <row r="100" spans="1:18" ht="15" x14ac:dyDescent="0.2">
      <c r="A100" s="85">
        <f t="shared" si="41"/>
        <v>99</v>
      </c>
      <c r="B100" s="84">
        <f>(fs*1000/2)*(A100/100)</f>
        <v>49500</v>
      </c>
      <c r="C100" s="84">
        <f t="shared" si="29"/>
        <v>359.4445390070922</v>
      </c>
      <c r="D100" s="58" t="str">
        <f t="shared" si="30"/>
        <v>0.000234316539086028-0.000024297036954038i</v>
      </c>
      <c r="E100" s="58" t="str">
        <f t="shared" si="31"/>
        <v>-0.234586557851577-0.159047180025381i</v>
      </c>
      <c r="F100" s="84" t="str">
        <f>IMPRODUCT(D100,E100)</f>
        <v>-0.000058831885562398-0.0000315676265098994i</v>
      </c>
      <c r="G100" s="84" t="str">
        <f>IMPRODUCT(C100,F100)</f>
        <v>-0.0211467999848942-0.0113468109583989i</v>
      </c>
      <c r="H100" s="87">
        <f>IMABS(G100)</f>
        <v>2.3998693058722233E-2</v>
      </c>
      <c r="I100" s="58" t="str">
        <f t="shared" si="35"/>
        <v>4.62962962962962-0.046263941057208i</v>
      </c>
      <c r="J100" s="89" t="str">
        <f t="shared" si="36"/>
        <v>0.0119388351221171-0.108610769898956i</v>
      </c>
      <c r="K100" s="89" t="str">
        <f>IMPRODUCT(I100,J100)</f>
        <v>0.0502476225678328-0.503379975985473i</v>
      </c>
      <c r="L100" s="89" t="str">
        <f>IMPRODUCT(G100,K100)</f>
        <v>-0.00677433385190896+0.0100747253941795i</v>
      </c>
      <c r="M100" s="84">
        <f>20*LOG(IMABS(L100))</f>
        <v>-38.315269988088247</v>
      </c>
      <c r="N100" s="84">
        <f t="shared" si="40"/>
        <v>303.91723289873227</v>
      </c>
      <c r="O100" s="84">
        <f t="shared" si="28"/>
        <v>-56.082767101267734</v>
      </c>
    </row>
    <row r="101" spans="1:18" ht="15" x14ac:dyDescent="0.2">
      <c r="A101" s="85">
        <f>1+A100</f>
        <v>100</v>
      </c>
      <c r="B101" s="84">
        <f>(fs*1000/2)*(A101/100)</f>
        <v>50000</v>
      </c>
      <c r="C101" s="84">
        <f t="shared" si="29"/>
        <v>359.4445390070922</v>
      </c>
      <c r="D101" s="58" t="str">
        <f t="shared" si="30"/>
        <v>0.000234316527335389-0.0000240540665847803i</v>
      </c>
      <c r="E101" s="58" t="str">
        <f t="shared" si="31"/>
        <v>-0.230769230769231-0.153846153846154i</v>
      </c>
      <c r="F101" s="84" t="str">
        <f>IMPRODUCT(D101,E101)</f>
        <v>-0.0000577736703981329-0.0000304977580704952i</v>
      </c>
      <c r="G101" s="84" t="str">
        <f>IMPRODUCT(C101,F101)</f>
        <v>-0.0207664303230046-0.010962252590399i</v>
      </c>
      <c r="H101" s="87">
        <f>IMABS(G101)</f>
        <v>2.3482240315095888E-2</v>
      </c>
      <c r="I101" s="58" t="str">
        <f t="shared" si="35"/>
        <v>4.62962962962966-0.0458013016466361i</v>
      </c>
      <c r="J101" s="89" t="str">
        <f t="shared" si="36"/>
        <v>0.0117040329803353-0.107550214283053i</v>
      </c>
      <c r="K101" s="89" t="str">
        <f>IMPRODUCT(I101,J101)</f>
        <v>0.0492593980653846-0.498453718662856i</v>
      </c>
      <c r="L101" s="89" t="str">
        <f>IMPRODUCT(G101,K101)</f>
        <v>-0.00648711742628386+0.00981111045381098i</v>
      </c>
      <c r="M101" s="84">
        <f>20*LOG(IMABS(L101))</f>
        <v>-38.590504052168122</v>
      </c>
      <c r="N101" s="84">
        <f t="shared" si="40"/>
        <v>303.47272307316138</v>
      </c>
      <c r="O101" s="84">
        <f t="shared" si="28"/>
        <v>-56.527276926838624</v>
      </c>
      <c r="P101" s="84">
        <v>-32.747</v>
      </c>
      <c r="Q101" s="84">
        <v>307.64999999999998</v>
      </c>
      <c r="R101" s="84">
        <f>B101</f>
        <v>50000</v>
      </c>
    </row>
  </sheetData>
  <phoneticPr fontId="21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orkbookViewId="0">
      <selection activeCell="C34" sqref="C34"/>
    </sheetView>
  </sheetViews>
  <sheetFormatPr defaultRowHeight="12.75" x14ac:dyDescent="0.2"/>
  <cols>
    <col min="1" max="1" width="9.140625" style="17"/>
    <col min="2" max="2" width="19.28515625" style="17" bestFit="1" customWidth="1"/>
    <col min="3" max="3" width="12.42578125" style="17" bestFit="1" customWidth="1"/>
    <col min="4" max="4" width="7.7109375" style="17" customWidth="1"/>
    <col min="5" max="5" width="8.7109375" style="7" customWidth="1"/>
    <col min="6" max="8" width="8.7109375" style="9" customWidth="1"/>
    <col min="9" max="9" width="8.7109375" style="10" customWidth="1"/>
    <col min="10" max="11" width="9.140625" style="41"/>
    <col min="12" max="12" width="4.7109375" style="41" bestFit="1" customWidth="1"/>
    <col min="13" max="13" width="10.28515625" style="7" customWidth="1"/>
    <col min="14" max="14" width="9.140625" style="7"/>
    <col min="15" max="16384" width="9.140625" style="54"/>
  </cols>
  <sheetData>
    <row r="1" spans="1:14" ht="18.75" thickBot="1" x14ac:dyDescent="0.3">
      <c r="A1" s="52"/>
      <c r="B1" s="7"/>
      <c r="C1" s="7"/>
      <c r="D1" s="7"/>
      <c r="E1" s="8" t="s">
        <v>139</v>
      </c>
      <c r="J1" s="8" t="s">
        <v>140</v>
      </c>
      <c r="K1" s="11"/>
      <c r="L1" s="11"/>
      <c r="N1" s="11"/>
    </row>
    <row r="2" spans="1:14" ht="13.5" thickBot="1" x14ac:dyDescent="0.25">
      <c r="A2" s="7"/>
      <c r="B2" s="12" t="s">
        <v>141</v>
      </c>
      <c r="C2" s="13">
        <v>127</v>
      </c>
      <c r="D2" s="7"/>
      <c r="E2" s="117" t="s">
        <v>142</v>
      </c>
      <c r="F2" s="118"/>
      <c r="G2" s="119" t="s">
        <v>143</v>
      </c>
      <c r="H2" s="120"/>
      <c r="J2" s="14" t="s">
        <v>144</v>
      </c>
      <c r="K2" s="15">
        <v>1000</v>
      </c>
      <c r="L2" s="16" t="s">
        <v>63</v>
      </c>
      <c r="N2" s="26"/>
    </row>
    <row r="3" spans="1:14" ht="13.5" thickBot="1" x14ac:dyDescent="0.25">
      <c r="B3" s="7"/>
      <c r="C3" s="17" t="s">
        <v>20</v>
      </c>
      <c r="E3" s="18">
        <v>100</v>
      </c>
      <c r="F3" s="19">
        <v>150</v>
      </c>
      <c r="G3" s="20">
        <v>100</v>
      </c>
      <c r="H3" s="21">
        <v>102</v>
      </c>
      <c r="J3" s="14"/>
      <c r="K3" s="22">
        <f>IF(K2&lt;10000,sta*10^INT(LOG(K2)),stb*10^INT(LOG(K2)))</f>
        <v>1000</v>
      </c>
      <c r="L3" s="23" t="s">
        <v>63</v>
      </c>
      <c r="N3" s="30"/>
    </row>
    <row r="4" spans="1:14" ht="13.5" thickBot="1" x14ac:dyDescent="0.25">
      <c r="B4" s="24" t="s">
        <v>145</v>
      </c>
      <c r="C4" s="81">
        <f>(IF((10^(LOG(C2)-INT(LOG(C2)))*100)-VLOOKUP((10^(LOG(C2)-INT(LOG(C2)))*100),E6_s:E6_f,1)&lt;VLOOKUP((10^(LOG(C2)-INT(LOG(C2)))*100),E6_s:E6_f,2)-(10^(LOG(C2)-INT(LOG(C2)))*100),VLOOKUP((10^(LOG(C2)-INT(LOG(C2)))*100),E6_s:E6_f,1),VLOOKUP((10^(LOG(C2)-INT(LOG(C2)))*100),E6_s:E6_f,2)))*10^INT(LOG(C2))/100</f>
        <v>150</v>
      </c>
      <c r="E4" s="19">
        <v>150</v>
      </c>
      <c r="F4" s="18">
        <v>220</v>
      </c>
      <c r="G4" s="21">
        <v>102</v>
      </c>
      <c r="H4" s="20">
        <v>105</v>
      </c>
      <c r="J4" s="25"/>
      <c r="K4" s="26"/>
      <c r="L4" s="27"/>
      <c r="M4" s="9"/>
      <c r="N4" s="30"/>
    </row>
    <row r="5" spans="1:14" ht="13.5" thickBot="1" x14ac:dyDescent="0.25">
      <c r="B5" s="28" t="s">
        <v>146</v>
      </c>
      <c r="C5" s="80">
        <f>(IF((10^(LOG(C2)-INT(LOG(C2)))*100)-VLOOKUP((10^(LOG(C2)-INT(LOG(C2)))*100),E12_s:E12_f,1)&lt;VLOOKUP((10^(LOG(C2)-INT(LOG(C2)))*100),E12_s:E12_f,2)-(10^(LOG(C2)-INT(LOG(C2)))*100),VLOOKUP((10^(LOG(C2)-INT(LOG(C2)))*100),E12_s:E12_f,1),VLOOKUP((10^(LOG(C2)-INT(LOG(C2)))*100),E12_s:E12_f,2)))*10^INT(LOG(C2))/100</f>
        <v>120</v>
      </c>
      <c r="E5" s="18">
        <v>220</v>
      </c>
      <c r="F5" s="19">
        <v>330</v>
      </c>
      <c r="G5" s="20">
        <v>105</v>
      </c>
      <c r="H5" s="21">
        <v>107</v>
      </c>
      <c r="J5" s="29" t="s">
        <v>147</v>
      </c>
      <c r="K5" s="30"/>
      <c r="L5" s="9"/>
      <c r="N5" s="30"/>
    </row>
    <row r="6" spans="1:14" ht="13.5" thickBot="1" x14ac:dyDescent="0.25">
      <c r="B6" s="28" t="s">
        <v>148</v>
      </c>
      <c r="C6" s="80">
        <f>(IF((10^(LOG(C2)-INT(LOG(C2)))*100)-VLOOKUP((10^(LOG(C2)-INT(LOG(C2)))*100),E24_s:E24_f,1)&lt;VLOOKUP((10^(LOG(C2)-INT(LOG(C2)))*100),E24_s:E24_f,2)-(10^(LOG(C2)-INT(LOG(C2)))*100),VLOOKUP((10^(LOG(C2)-INT(LOG(C2)))*100),E24_s:E24_f,1),VLOOKUP((10^(LOG(C2)-INT(LOG(C2)))*100),E24_s:E24_f,2)))*10^INT(LOG(C2))/100</f>
        <v>130</v>
      </c>
      <c r="E6" s="19">
        <v>330</v>
      </c>
      <c r="F6" s="18">
        <v>470</v>
      </c>
      <c r="G6" s="21">
        <v>107</v>
      </c>
      <c r="H6" s="20">
        <v>110</v>
      </c>
      <c r="J6" s="30">
        <v>1</v>
      </c>
      <c r="K6" s="30">
        <v>1.2</v>
      </c>
      <c r="L6" s="31">
        <f>IF((10^(LOG(K2)-INT(LOG(K2))))-VLOOKUP((10^(LOG(K2)-INT(LOG(K2)))),c_s1:C_f1,1)&lt;VLOOKUP((10^(LOG(K2)-INT(LOG(K2)))),c_s1:C_f1,2)-(10^(LOG(K2)-INT(LOG(K2)))),VLOOKUP((10^(LOG(K2)-INT(LOG(K2)))),c_s1:C_f1,1),VLOOKUP((10^(LOG(K2)-INT(LOG(K2)))),c_s1:C_f1,2))</f>
        <v>1</v>
      </c>
      <c r="N6" s="30"/>
    </row>
    <row r="7" spans="1:14" ht="13.5" thickBot="1" x14ac:dyDescent="0.25">
      <c r="B7" s="28" t="s">
        <v>149</v>
      </c>
      <c r="C7" s="80">
        <f>(IF((10^(LOG(C2)-INT(LOG(C2)))*100)-VLOOKUP((10^(LOG(C2)-INT(LOG(C2)))*100),E48_s:E48_f,1)&lt;VLOOKUP((10^(LOG(C2)-INT(LOG(C2)))*100),E48_s:E48_f,2)-(10^(LOG(C2)-INT(LOG(C2)))*100),VLOOKUP((10^(LOG(C2)-INT(LOG(C2)))*100),E48_s:E48_f,1),VLOOKUP((10^(LOG(C2)-INT(LOG(C2)))*100),E48_s:E48_f,2)))*10^INT(LOG(C2))/100</f>
        <v>127</v>
      </c>
      <c r="D7" s="6"/>
      <c r="E7" s="18">
        <v>470</v>
      </c>
      <c r="F7" s="19">
        <v>680</v>
      </c>
      <c r="G7" s="20">
        <v>110</v>
      </c>
      <c r="H7" s="21">
        <v>113</v>
      </c>
      <c r="J7" s="30">
        <v>1.2</v>
      </c>
      <c r="K7" s="30">
        <v>1.5</v>
      </c>
      <c r="L7" s="32"/>
      <c r="N7" s="30"/>
    </row>
    <row r="8" spans="1:14" ht="13.5" thickBot="1" x14ac:dyDescent="0.25">
      <c r="B8" s="33" t="s">
        <v>150</v>
      </c>
      <c r="C8" s="82">
        <f>(IF((10^(LOG(C2)-INT(LOG(C2)))*100)-VLOOKUP((10^(LOG(C2)-INT(LOG(C2)))*100),E96_s:E96_f,1)&lt;VLOOKUP((10^(LOG(C2)-INT(LOG(C2)))*100),E96_s:E96_f,2)-(10^(LOG(C2)-INT(LOG(C2)))*100),VLOOKUP((10^(LOG(C2)-INT(LOG(C2)))*100),E96_s:E96_f,1),VLOOKUP((10^(LOG(C2)-INT(LOG(C2)))*100),E96_s:E96_f,2)))*10^INT(LOG(C2))/100</f>
        <v>127</v>
      </c>
      <c r="D8" s="9"/>
      <c r="E8" s="19">
        <v>680</v>
      </c>
      <c r="F8" s="19">
        <v>1000</v>
      </c>
      <c r="G8" s="21">
        <v>113</v>
      </c>
      <c r="H8" s="20">
        <v>115</v>
      </c>
      <c r="J8" s="30">
        <v>1.5</v>
      </c>
      <c r="K8" s="30">
        <v>1.8</v>
      </c>
      <c r="L8" s="32"/>
      <c r="N8" s="30"/>
    </row>
    <row r="9" spans="1:14" ht="13.5" thickBot="1" x14ac:dyDescent="0.25">
      <c r="B9" s="6"/>
      <c r="C9" s="6"/>
      <c r="D9" s="6"/>
      <c r="E9" s="121" t="s">
        <v>151</v>
      </c>
      <c r="F9" s="122"/>
      <c r="G9" s="20">
        <v>115</v>
      </c>
      <c r="H9" s="21">
        <v>118</v>
      </c>
      <c r="J9" s="30">
        <v>1.8</v>
      </c>
      <c r="K9" s="30">
        <v>2.2000000000000002</v>
      </c>
      <c r="L9" s="35"/>
      <c r="N9" s="30"/>
    </row>
    <row r="10" spans="1:14" ht="13.5" thickBot="1" x14ac:dyDescent="0.25">
      <c r="E10" s="36">
        <v>100</v>
      </c>
      <c r="F10" s="37">
        <v>120</v>
      </c>
      <c r="G10" s="21">
        <v>118</v>
      </c>
      <c r="H10" s="20">
        <v>121</v>
      </c>
      <c r="J10" s="30">
        <v>2.2000000000000002</v>
      </c>
      <c r="K10" s="30">
        <v>2.7</v>
      </c>
      <c r="L10" s="9"/>
      <c r="N10" s="30"/>
    </row>
    <row r="11" spans="1:14" ht="13.5" thickBot="1" x14ac:dyDescent="0.25">
      <c r="E11" s="37">
        <v>120</v>
      </c>
      <c r="F11" s="37">
        <v>150</v>
      </c>
      <c r="G11" s="20">
        <v>121</v>
      </c>
      <c r="H11" s="21">
        <v>124</v>
      </c>
      <c r="J11" s="30">
        <v>2.7</v>
      </c>
      <c r="K11" s="30">
        <v>3.3</v>
      </c>
      <c r="L11" s="9"/>
      <c r="N11" s="30"/>
    </row>
    <row r="12" spans="1:14" ht="13.5" thickBot="1" x14ac:dyDescent="0.25">
      <c r="C12" s="40"/>
      <c r="E12" s="37">
        <v>150</v>
      </c>
      <c r="F12" s="37">
        <v>180</v>
      </c>
      <c r="G12" s="21">
        <v>124</v>
      </c>
      <c r="H12" s="20">
        <v>127</v>
      </c>
      <c r="J12" s="30">
        <v>3.3</v>
      </c>
      <c r="K12" s="30">
        <v>3.9</v>
      </c>
      <c r="L12" s="9"/>
      <c r="N12" s="30"/>
    </row>
    <row r="13" spans="1:14" ht="13.5" thickBot="1" x14ac:dyDescent="0.25">
      <c r="A13" s="6"/>
      <c r="B13" s="6"/>
      <c r="C13" s="6"/>
      <c r="D13" s="6"/>
      <c r="E13" s="37">
        <v>180</v>
      </c>
      <c r="F13" s="36">
        <v>220</v>
      </c>
      <c r="G13" s="20">
        <v>127</v>
      </c>
      <c r="H13" s="21">
        <v>130</v>
      </c>
      <c r="J13" s="30">
        <v>3.9</v>
      </c>
      <c r="K13" s="30">
        <v>4.7</v>
      </c>
      <c r="L13" s="9"/>
      <c r="N13" s="30"/>
    </row>
    <row r="14" spans="1:14" ht="13.5" thickBot="1" x14ac:dyDescent="0.25">
      <c r="A14" s="6"/>
      <c r="B14" s="6"/>
      <c r="C14" s="6"/>
      <c r="D14" s="38"/>
      <c r="E14" s="36">
        <v>220</v>
      </c>
      <c r="F14" s="37">
        <v>270</v>
      </c>
      <c r="G14" s="21">
        <v>130</v>
      </c>
      <c r="H14" s="20">
        <v>133</v>
      </c>
      <c r="J14" s="30">
        <v>4.7</v>
      </c>
      <c r="K14" s="30">
        <v>5.6</v>
      </c>
      <c r="L14" s="9"/>
      <c r="N14" s="30"/>
    </row>
    <row r="15" spans="1:14" ht="13.5" thickBot="1" x14ac:dyDescent="0.25">
      <c r="A15" s="53"/>
      <c r="B15" s="39"/>
      <c r="C15" s="6"/>
      <c r="D15" s="40"/>
      <c r="E15" s="37">
        <v>270</v>
      </c>
      <c r="F15" s="37">
        <v>330</v>
      </c>
      <c r="G15" s="20">
        <v>133</v>
      </c>
      <c r="H15" s="21">
        <v>137</v>
      </c>
      <c r="J15" s="30">
        <v>5.6</v>
      </c>
      <c r="K15" s="30">
        <v>6.8</v>
      </c>
      <c r="L15" s="9"/>
      <c r="N15" s="30"/>
    </row>
    <row r="16" spans="1:14" ht="13.5" thickBot="1" x14ac:dyDescent="0.25">
      <c r="A16" s="53"/>
      <c r="B16" s="39"/>
      <c r="C16" s="6"/>
      <c r="D16" s="40"/>
      <c r="E16" s="37">
        <v>330</v>
      </c>
      <c r="F16" s="37">
        <v>390</v>
      </c>
      <c r="G16" s="21">
        <v>137</v>
      </c>
      <c r="H16" s="20">
        <v>140</v>
      </c>
      <c r="J16" s="30">
        <v>6.8</v>
      </c>
      <c r="K16" s="30">
        <v>8.1999999999999993</v>
      </c>
      <c r="L16" s="9"/>
      <c r="N16" s="30"/>
    </row>
    <row r="17" spans="1:14" ht="13.5" thickBot="1" x14ac:dyDescent="0.25">
      <c r="A17" s="53"/>
      <c r="B17" s="39"/>
      <c r="C17" s="6"/>
      <c r="D17" s="40"/>
      <c r="E17" s="37">
        <v>390</v>
      </c>
      <c r="F17" s="36">
        <v>470</v>
      </c>
      <c r="G17" s="20">
        <v>140</v>
      </c>
      <c r="H17" s="21">
        <v>143</v>
      </c>
      <c r="J17" s="30">
        <v>8.1999999999999993</v>
      </c>
      <c r="K17" s="30">
        <v>10</v>
      </c>
      <c r="L17" s="9"/>
      <c r="N17" s="30"/>
    </row>
    <row r="18" spans="1:14" ht="13.5" thickBot="1" x14ac:dyDescent="0.25">
      <c r="A18" s="53"/>
      <c r="B18" s="39"/>
      <c r="C18" s="6"/>
      <c r="D18" s="40"/>
      <c r="E18" s="36">
        <v>470</v>
      </c>
      <c r="F18" s="37">
        <v>560</v>
      </c>
      <c r="G18" s="21">
        <v>143</v>
      </c>
      <c r="H18" s="20">
        <v>147</v>
      </c>
      <c r="J18" s="29" t="s">
        <v>152</v>
      </c>
      <c r="K18" s="30"/>
      <c r="L18" s="30"/>
      <c r="N18" s="30"/>
    </row>
    <row r="19" spans="1:14" ht="13.5" thickBot="1" x14ac:dyDescent="0.25">
      <c r="A19" s="53"/>
      <c r="B19" s="39"/>
      <c r="C19" s="6"/>
      <c r="D19" s="40"/>
      <c r="E19" s="37">
        <v>560</v>
      </c>
      <c r="F19" s="37">
        <v>680</v>
      </c>
      <c r="G19" s="20">
        <v>147</v>
      </c>
      <c r="H19" s="21">
        <v>150</v>
      </c>
      <c r="J19" s="30">
        <v>1</v>
      </c>
      <c r="K19" s="30">
        <v>1.5</v>
      </c>
      <c r="L19" s="31">
        <f>IF((10^(LOG(K2)-INT(LOG(K2))))-VLOOKUP((10^(LOG(K2)-INT(LOG(K2)))),C_s2:C_f2,1)&lt;VLOOKUP((10^(LOG(K2)-INT(LOG(K2)))),C_s2:C_f2,2)-(10^(LOG(K2)-INT(LOG(K2)))),VLOOKUP((10^(LOG(K2)-INT(LOG(K2)))),C_s2:C_f2,1),VLOOKUP((10^(LOG(K2)-INT(LOG(K2)))),C_s2:C_f2,2))</f>
        <v>1</v>
      </c>
      <c r="N19" s="30"/>
    </row>
    <row r="20" spans="1:14" ht="13.5" thickBot="1" x14ac:dyDescent="0.25">
      <c r="A20" s="53"/>
      <c r="B20" s="39"/>
      <c r="C20" s="6"/>
      <c r="D20" s="40"/>
      <c r="E20" s="34">
        <v>680</v>
      </c>
      <c r="F20" s="37">
        <v>820</v>
      </c>
      <c r="G20" s="21">
        <v>150</v>
      </c>
      <c r="H20" s="20">
        <v>154</v>
      </c>
      <c r="J20" s="30">
        <v>1.5</v>
      </c>
      <c r="K20" s="30">
        <v>2.2000000000000002</v>
      </c>
      <c r="N20" s="30"/>
    </row>
    <row r="21" spans="1:14" ht="13.5" thickBot="1" x14ac:dyDescent="0.25">
      <c r="A21" s="53"/>
      <c r="B21" s="39"/>
      <c r="C21" s="6"/>
      <c r="D21" s="40"/>
      <c r="E21" s="34">
        <v>820</v>
      </c>
      <c r="F21" s="37">
        <v>1000</v>
      </c>
      <c r="G21" s="20">
        <v>154</v>
      </c>
      <c r="H21" s="21">
        <v>158</v>
      </c>
      <c r="J21" s="30">
        <v>2.2000000000000002</v>
      </c>
      <c r="K21" s="30">
        <v>3.3</v>
      </c>
      <c r="L21" s="31"/>
      <c r="N21" s="30"/>
    </row>
    <row r="22" spans="1:14" ht="13.5" thickBot="1" x14ac:dyDescent="0.25">
      <c r="A22" s="53"/>
      <c r="B22" s="39"/>
      <c r="C22" s="6"/>
      <c r="D22" s="40"/>
      <c r="E22" s="123" t="s">
        <v>153</v>
      </c>
      <c r="F22" s="124"/>
      <c r="G22" s="21">
        <v>158</v>
      </c>
      <c r="H22" s="20">
        <v>162</v>
      </c>
      <c r="J22" s="30">
        <v>3.3</v>
      </c>
      <c r="K22" s="30">
        <v>4.7</v>
      </c>
      <c r="L22" s="31"/>
      <c r="N22" s="30"/>
    </row>
    <row r="23" spans="1:14" ht="13.5" thickBot="1" x14ac:dyDescent="0.25">
      <c r="A23" s="53"/>
      <c r="B23" s="39"/>
      <c r="C23" s="6"/>
      <c r="D23" s="40"/>
      <c r="E23" s="42">
        <v>100</v>
      </c>
      <c r="F23" s="43">
        <v>110</v>
      </c>
      <c r="G23" s="20">
        <v>162</v>
      </c>
      <c r="H23" s="21">
        <v>165</v>
      </c>
      <c r="J23" s="30">
        <v>4.7</v>
      </c>
      <c r="K23" s="30">
        <v>6.8</v>
      </c>
      <c r="L23" s="9"/>
    </row>
    <row r="24" spans="1:14" ht="13.5" thickBot="1" x14ac:dyDescent="0.25">
      <c r="A24" s="53"/>
      <c r="B24" s="39"/>
      <c r="C24" s="6"/>
      <c r="D24" s="40"/>
      <c r="E24" s="43">
        <v>110</v>
      </c>
      <c r="F24" s="43">
        <v>120</v>
      </c>
      <c r="G24" s="21">
        <v>165</v>
      </c>
      <c r="H24" s="20">
        <v>169</v>
      </c>
      <c r="J24" s="30">
        <v>6.8</v>
      </c>
      <c r="K24" s="30">
        <v>10</v>
      </c>
      <c r="L24" s="9"/>
    </row>
    <row r="25" spans="1:14" ht="13.5" thickBot="1" x14ac:dyDescent="0.25">
      <c r="A25" s="53"/>
      <c r="B25" s="39"/>
      <c r="C25" s="6"/>
      <c r="D25" s="40"/>
      <c r="E25" s="43">
        <v>120</v>
      </c>
      <c r="F25" s="43">
        <v>130</v>
      </c>
      <c r="G25" s="20">
        <v>169</v>
      </c>
      <c r="H25" s="21">
        <v>174</v>
      </c>
      <c r="J25" s="44"/>
      <c r="K25" s="44"/>
      <c r="L25" s="44"/>
    </row>
    <row r="26" spans="1:14" ht="13.5" thickBot="1" x14ac:dyDescent="0.25">
      <c r="A26" s="53"/>
      <c r="B26" s="39"/>
      <c r="C26" s="6"/>
      <c r="D26" s="40"/>
      <c r="E26" s="43">
        <v>130</v>
      </c>
      <c r="F26" s="43">
        <v>150</v>
      </c>
      <c r="G26" s="21">
        <v>174</v>
      </c>
      <c r="H26" s="20">
        <v>178</v>
      </c>
      <c r="J26" s="44"/>
      <c r="K26" s="44"/>
      <c r="L26" s="44"/>
    </row>
    <row r="27" spans="1:14" ht="13.5" thickBot="1" x14ac:dyDescent="0.25">
      <c r="A27" s="53"/>
      <c r="B27" s="39"/>
      <c r="C27" s="6"/>
      <c r="D27" s="40"/>
      <c r="E27" s="43">
        <v>150</v>
      </c>
      <c r="F27" s="43">
        <v>160</v>
      </c>
      <c r="G27" s="20">
        <v>178</v>
      </c>
      <c r="H27" s="21">
        <v>182</v>
      </c>
      <c r="I27" s="45"/>
      <c r="J27" s="44"/>
      <c r="K27" s="44"/>
      <c r="L27" s="44"/>
    </row>
    <row r="28" spans="1:14" ht="13.5" thickBot="1" x14ac:dyDescent="0.25">
      <c r="A28" s="53"/>
      <c r="B28" s="39"/>
      <c r="C28" s="6"/>
      <c r="D28" s="40"/>
      <c r="E28" s="43">
        <v>160</v>
      </c>
      <c r="F28" s="43">
        <v>180</v>
      </c>
      <c r="G28" s="21">
        <v>182</v>
      </c>
      <c r="H28" s="20">
        <v>187</v>
      </c>
      <c r="I28" s="45"/>
      <c r="J28" s="44"/>
      <c r="K28" s="44"/>
      <c r="L28" s="44"/>
    </row>
    <row r="29" spans="1:14" ht="13.5" thickBot="1" x14ac:dyDescent="0.25">
      <c r="A29" s="53"/>
      <c r="B29" s="39"/>
      <c r="C29" s="6"/>
      <c r="D29" s="40"/>
      <c r="E29" s="43">
        <v>180</v>
      </c>
      <c r="F29" s="46">
        <v>200</v>
      </c>
      <c r="G29" s="20">
        <v>187</v>
      </c>
      <c r="H29" s="21">
        <v>191</v>
      </c>
      <c r="I29" s="45"/>
      <c r="J29" s="44"/>
      <c r="K29" s="44"/>
      <c r="L29" s="44"/>
    </row>
    <row r="30" spans="1:14" ht="13.5" thickBot="1" x14ac:dyDescent="0.25">
      <c r="A30" s="53"/>
      <c r="B30" s="39"/>
      <c r="C30" s="6"/>
      <c r="D30" s="40"/>
      <c r="E30" s="46">
        <v>200</v>
      </c>
      <c r="F30" s="42">
        <v>220</v>
      </c>
      <c r="G30" s="21">
        <v>191</v>
      </c>
      <c r="H30" s="20">
        <v>196</v>
      </c>
      <c r="I30" s="45"/>
      <c r="J30" s="44"/>
      <c r="K30" s="44"/>
      <c r="L30" s="44"/>
    </row>
    <row r="31" spans="1:14" ht="13.5" thickBot="1" x14ac:dyDescent="0.25">
      <c r="A31" s="53"/>
      <c r="B31" s="39"/>
      <c r="C31" s="6"/>
      <c r="D31" s="40"/>
      <c r="E31" s="42">
        <v>220</v>
      </c>
      <c r="F31" s="43">
        <v>240</v>
      </c>
      <c r="G31" s="20">
        <v>196</v>
      </c>
      <c r="H31" s="21">
        <v>200</v>
      </c>
      <c r="I31" s="45"/>
      <c r="J31" s="44"/>
      <c r="K31" s="44"/>
      <c r="L31" s="44"/>
      <c r="N31" s="49"/>
    </row>
    <row r="32" spans="1:14" ht="13.5" thickBot="1" x14ac:dyDescent="0.25">
      <c r="A32" s="53"/>
      <c r="B32" s="39"/>
      <c r="C32" s="6"/>
      <c r="D32" s="40"/>
      <c r="E32" s="43">
        <v>240</v>
      </c>
      <c r="F32" s="43">
        <v>270</v>
      </c>
      <c r="G32" s="21">
        <v>200</v>
      </c>
      <c r="H32" s="20">
        <v>205</v>
      </c>
      <c r="I32" s="45"/>
      <c r="J32" s="44"/>
      <c r="K32" s="44"/>
      <c r="L32" s="44"/>
      <c r="N32" s="49"/>
    </row>
    <row r="33" spans="1:14" s="49" customFormat="1" ht="13.5" thickBot="1" x14ac:dyDescent="0.25">
      <c r="A33" s="53"/>
      <c r="B33" s="39"/>
      <c r="C33" s="6"/>
      <c r="D33" s="40"/>
      <c r="E33" s="43">
        <v>270</v>
      </c>
      <c r="F33" s="43">
        <v>300</v>
      </c>
      <c r="G33" s="20">
        <v>205</v>
      </c>
      <c r="H33" s="21">
        <v>210</v>
      </c>
      <c r="I33" s="47"/>
      <c r="J33" s="44"/>
      <c r="K33" s="44"/>
      <c r="L33" s="44"/>
    </row>
    <row r="34" spans="1:14" s="49" customFormat="1" ht="13.5" thickBot="1" x14ac:dyDescent="0.25">
      <c r="A34" s="48"/>
      <c r="B34" s="48"/>
      <c r="C34" s="48"/>
      <c r="D34" s="48"/>
      <c r="E34" s="43">
        <v>300</v>
      </c>
      <c r="F34" s="43">
        <v>330</v>
      </c>
      <c r="G34" s="21">
        <v>210</v>
      </c>
      <c r="H34" s="20">
        <v>215</v>
      </c>
      <c r="I34" s="10"/>
      <c r="J34" s="44"/>
      <c r="K34" s="44"/>
      <c r="L34" s="44"/>
    </row>
    <row r="35" spans="1:14" s="49" customFormat="1" ht="13.5" thickBot="1" x14ac:dyDescent="0.25">
      <c r="E35" s="43">
        <v>330</v>
      </c>
      <c r="F35" s="43">
        <v>360</v>
      </c>
      <c r="G35" s="20">
        <v>215</v>
      </c>
      <c r="H35" s="21">
        <v>221</v>
      </c>
      <c r="I35" s="10"/>
      <c r="J35" s="44"/>
      <c r="K35" s="44"/>
      <c r="L35" s="44"/>
    </row>
    <row r="36" spans="1:14" s="49" customFormat="1" ht="13.5" thickBot="1" x14ac:dyDescent="0.25">
      <c r="E36" s="43">
        <v>360</v>
      </c>
      <c r="F36" s="43">
        <v>390</v>
      </c>
      <c r="G36" s="21">
        <v>221</v>
      </c>
      <c r="H36" s="20">
        <v>226</v>
      </c>
      <c r="I36" s="10"/>
      <c r="J36" s="44"/>
      <c r="K36" s="44"/>
      <c r="L36" s="44"/>
      <c r="N36" s="7"/>
    </row>
    <row r="37" spans="1:14" s="49" customFormat="1" ht="13.5" thickBot="1" x14ac:dyDescent="0.25">
      <c r="E37" s="43">
        <v>390</v>
      </c>
      <c r="F37" s="46">
        <v>430</v>
      </c>
      <c r="G37" s="20">
        <v>226</v>
      </c>
      <c r="H37" s="21">
        <v>232</v>
      </c>
      <c r="I37" s="45"/>
      <c r="J37" s="44"/>
      <c r="K37" s="44"/>
      <c r="L37" s="44"/>
      <c r="N37" s="7"/>
    </row>
    <row r="38" spans="1:14" ht="13.5" thickBot="1" x14ac:dyDescent="0.25">
      <c r="E38" s="46">
        <v>430</v>
      </c>
      <c r="F38" s="42">
        <v>470</v>
      </c>
      <c r="G38" s="21">
        <v>232</v>
      </c>
      <c r="H38" s="20">
        <v>237</v>
      </c>
      <c r="I38" s="45"/>
      <c r="J38" s="44"/>
      <c r="K38" s="44"/>
      <c r="L38" s="44"/>
    </row>
    <row r="39" spans="1:14" ht="13.5" thickBot="1" x14ac:dyDescent="0.25">
      <c r="E39" s="42">
        <v>470</v>
      </c>
      <c r="F39" s="43">
        <v>510</v>
      </c>
      <c r="G39" s="20">
        <v>237</v>
      </c>
      <c r="H39" s="21">
        <v>243</v>
      </c>
      <c r="I39" s="45"/>
      <c r="J39" s="44"/>
      <c r="K39" s="44"/>
      <c r="L39" s="44"/>
    </row>
    <row r="40" spans="1:14" ht="13.5" thickBot="1" x14ac:dyDescent="0.25">
      <c r="E40" s="43">
        <v>510</v>
      </c>
      <c r="F40" s="43">
        <v>560</v>
      </c>
      <c r="G40" s="21">
        <v>243</v>
      </c>
      <c r="H40" s="20">
        <v>249</v>
      </c>
      <c r="I40" s="45"/>
      <c r="J40" s="44"/>
      <c r="K40" s="44"/>
      <c r="L40" s="44"/>
    </row>
    <row r="41" spans="1:14" ht="13.5" thickBot="1" x14ac:dyDescent="0.25">
      <c r="E41" s="43">
        <v>560</v>
      </c>
      <c r="F41" s="43">
        <v>620</v>
      </c>
      <c r="G41" s="20">
        <v>249</v>
      </c>
      <c r="H41" s="21">
        <v>255</v>
      </c>
      <c r="I41" s="45"/>
      <c r="J41" s="44"/>
      <c r="K41" s="44"/>
      <c r="L41" s="44"/>
    </row>
    <row r="42" spans="1:14" ht="13.5" thickBot="1" x14ac:dyDescent="0.25">
      <c r="E42" s="43">
        <v>620</v>
      </c>
      <c r="F42" s="43">
        <v>680</v>
      </c>
      <c r="G42" s="21">
        <v>255</v>
      </c>
      <c r="H42" s="20">
        <v>261</v>
      </c>
      <c r="I42" s="45"/>
      <c r="J42" s="44"/>
      <c r="K42" s="44"/>
      <c r="L42" s="44"/>
    </row>
    <row r="43" spans="1:14" ht="13.5" thickBot="1" x14ac:dyDescent="0.25">
      <c r="E43" s="43">
        <v>680</v>
      </c>
      <c r="F43" s="43">
        <v>750</v>
      </c>
      <c r="G43" s="20">
        <v>261</v>
      </c>
      <c r="H43" s="21">
        <v>267</v>
      </c>
      <c r="I43" s="45"/>
      <c r="J43" s="44"/>
      <c r="K43" s="44"/>
      <c r="L43" s="44"/>
    </row>
    <row r="44" spans="1:14" ht="13.5" thickBot="1" x14ac:dyDescent="0.25">
      <c r="E44" s="43">
        <v>750</v>
      </c>
      <c r="F44" s="43">
        <v>820</v>
      </c>
      <c r="G44" s="21">
        <v>267</v>
      </c>
      <c r="H44" s="20">
        <v>274</v>
      </c>
      <c r="J44" s="44"/>
      <c r="K44" s="44"/>
      <c r="L44" s="44"/>
    </row>
    <row r="45" spans="1:14" ht="13.5" thickBot="1" x14ac:dyDescent="0.25">
      <c r="E45" s="43">
        <v>820</v>
      </c>
      <c r="F45" s="46">
        <v>910</v>
      </c>
      <c r="G45" s="20">
        <v>274</v>
      </c>
      <c r="H45" s="21">
        <v>280</v>
      </c>
      <c r="J45" s="44"/>
      <c r="K45" s="44"/>
      <c r="L45" s="44"/>
    </row>
    <row r="46" spans="1:14" ht="13.5" thickBot="1" x14ac:dyDescent="0.25">
      <c r="E46" s="46">
        <v>910</v>
      </c>
      <c r="F46" s="46">
        <v>1000</v>
      </c>
      <c r="G46" s="21">
        <v>280</v>
      </c>
      <c r="H46" s="20">
        <v>287</v>
      </c>
      <c r="J46" s="44"/>
      <c r="K46" s="44"/>
      <c r="L46" s="44"/>
    </row>
    <row r="47" spans="1:14" ht="13.5" thickBot="1" x14ac:dyDescent="0.25">
      <c r="E47" s="116" t="s">
        <v>154</v>
      </c>
      <c r="F47" s="116"/>
      <c r="G47" s="20">
        <v>287</v>
      </c>
      <c r="H47" s="21">
        <v>294</v>
      </c>
      <c r="J47" s="44"/>
      <c r="K47" s="44"/>
      <c r="L47" s="44"/>
    </row>
    <row r="48" spans="1:14" ht="13.5" thickBot="1" x14ac:dyDescent="0.25">
      <c r="E48" s="50">
        <v>100</v>
      </c>
      <c r="F48" s="50">
        <v>105</v>
      </c>
      <c r="G48" s="21">
        <v>294</v>
      </c>
      <c r="H48" s="20">
        <v>301</v>
      </c>
      <c r="J48" s="44"/>
      <c r="K48" s="44"/>
      <c r="L48" s="44"/>
    </row>
    <row r="49" spans="5:12" ht="13.5" thickBot="1" x14ac:dyDescent="0.25">
      <c r="E49" s="50">
        <v>105</v>
      </c>
      <c r="F49" s="50">
        <v>110</v>
      </c>
      <c r="G49" s="20">
        <v>301</v>
      </c>
      <c r="H49" s="21">
        <v>309</v>
      </c>
      <c r="J49" s="44"/>
      <c r="K49" s="44"/>
      <c r="L49" s="44"/>
    </row>
    <row r="50" spans="5:12" ht="13.5" thickBot="1" x14ac:dyDescent="0.25">
      <c r="E50" s="50">
        <v>110</v>
      </c>
      <c r="F50" s="50">
        <v>115</v>
      </c>
      <c r="G50" s="21">
        <v>309</v>
      </c>
      <c r="H50" s="20">
        <v>316</v>
      </c>
      <c r="J50" s="44"/>
      <c r="K50" s="44"/>
      <c r="L50" s="44"/>
    </row>
    <row r="51" spans="5:12" ht="13.5" thickBot="1" x14ac:dyDescent="0.25">
      <c r="E51" s="50">
        <v>115</v>
      </c>
      <c r="F51" s="50">
        <v>121</v>
      </c>
      <c r="G51" s="20">
        <v>316</v>
      </c>
      <c r="H51" s="21">
        <v>324</v>
      </c>
      <c r="J51" s="44"/>
      <c r="K51" s="44"/>
      <c r="L51" s="44"/>
    </row>
    <row r="52" spans="5:12" ht="13.5" thickBot="1" x14ac:dyDescent="0.25">
      <c r="E52" s="50">
        <v>121</v>
      </c>
      <c r="F52" s="50">
        <v>127</v>
      </c>
      <c r="G52" s="21">
        <v>324</v>
      </c>
      <c r="H52" s="20">
        <v>332</v>
      </c>
      <c r="J52" s="44"/>
      <c r="K52" s="44"/>
      <c r="L52" s="44"/>
    </row>
    <row r="53" spans="5:12" ht="13.5" thickBot="1" x14ac:dyDescent="0.25">
      <c r="E53" s="50">
        <v>127</v>
      </c>
      <c r="F53" s="50">
        <v>133</v>
      </c>
      <c r="G53" s="20">
        <v>332</v>
      </c>
      <c r="H53" s="21">
        <v>340</v>
      </c>
      <c r="J53" s="44"/>
      <c r="K53" s="44"/>
      <c r="L53" s="44"/>
    </row>
    <row r="54" spans="5:12" ht="13.5" thickBot="1" x14ac:dyDescent="0.25">
      <c r="E54" s="50">
        <v>133</v>
      </c>
      <c r="F54" s="50">
        <v>140</v>
      </c>
      <c r="G54" s="21">
        <v>340</v>
      </c>
      <c r="H54" s="20">
        <v>348</v>
      </c>
      <c r="J54" s="44"/>
      <c r="K54" s="44"/>
      <c r="L54" s="44"/>
    </row>
    <row r="55" spans="5:12" ht="13.5" thickBot="1" x14ac:dyDescent="0.25">
      <c r="E55" s="50">
        <v>140</v>
      </c>
      <c r="F55" s="50">
        <v>147</v>
      </c>
      <c r="G55" s="20">
        <v>348</v>
      </c>
      <c r="H55" s="21">
        <v>357</v>
      </c>
      <c r="J55" s="44"/>
      <c r="K55" s="44"/>
      <c r="L55" s="44"/>
    </row>
    <row r="56" spans="5:12" ht="13.5" thickBot="1" x14ac:dyDescent="0.25">
      <c r="E56" s="50">
        <v>147</v>
      </c>
      <c r="F56" s="50">
        <v>154</v>
      </c>
      <c r="G56" s="21">
        <v>357</v>
      </c>
      <c r="H56" s="20">
        <v>365</v>
      </c>
      <c r="J56" s="44"/>
      <c r="K56" s="44"/>
      <c r="L56" s="44"/>
    </row>
    <row r="57" spans="5:12" ht="13.5" thickBot="1" x14ac:dyDescent="0.25">
      <c r="E57" s="50">
        <v>154</v>
      </c>
      <c r="F57" s="50">
        <v>162</v>
      </c>
      <c r="G57" s="20">
        <v>365</v>
      </c>
      <c r="H57" s="21">
        <v>374</v>
      </c>
      <c r="J57" s="44"/>
      <c r="K57" s="44"/>
      <c r="L57" s="44"/>
    </row>
    <row r="58" spans="5:12" ht="13.5" thickBot="1" x14ac:dyDescent="0.25">
      <c r="E58" s="50">
        <v>162</v>
      </c>
      <c r="F58" s="50">
        <v>169</v>
      </c>
      <c r="G58" s="21">
        <v>374</v>
      </c>
      <c r="H58" s="20">
        <v>383</v>
      </c>
      <c r="J58" s="44"/>
      <c r="K58" s="44"/>
      <c r="L58" s="44"/>
    </row>
    <row r="59" spans="5:12" ht="13.5" thickBot="1" x14ac:dyDescent="0.25">
      <c r="E59" s="50">
        <v>169</v>
      </c>
      <c r="F59" s="50">
        <v>178</v>
      </c>
      <c r="G59" s="20">
        <v>383</v>
      </c>
      <c r="H59" s="21">
        <v>392</v>
      </c>
      <c r="J59" s="44"/>
      <c r="K59" s="44"/>
      <c r="L59" s="44"/>
    </row>
    <row r="60" spans="5:12" ht="13.5" thickBot="1" x14ac:dyDescent="0.25">
      <c r="E60" s="50">
        <v>178</v>
      </c>
      <c r="F60" s="50">
        <v>187</v>
      </c>
      <c r="G60" s="21">
        <v>392</v>
      </c>
      <c r="H60" s="20">
        <v>402</v>
      </c>
      <c r="J60" s="44"/>
      <c r="K60" s="44"/>
      <c r="L60" s="44"/>
    </row>
    <row r="61" spans="5:12" ht="13.5" thickBot="1" x14ac:dyDescent="0.25">
      <c r="E61" s="50">
        <v>187</v>
      </c>
      <c r="F61" s="50">
        <v>196</v>
      </c>
      <c r="G61" s="20">
        <v>402</v>
      </c>
      <c r="H61" s="21">
        <v>412</v>
      </c>
      <c r="J61" s="44"/>
      <c r="K61" s="44"/>
      <c r="L61" s="44"/>
    </row>
    <row r="62" spans="5:12" ht="13.5" thickBot="1" x14ac:dyDescent="0.25">
      <c r="E62" s="50">
        <v>196</v>
      </c>
      <c r="F62" s="50">
        <v>205</v>
      </c>
      <c r="G62" s="21">
        <v>412</v>
      </c>
      <c r="H62" s="20">
        <v>422</v>
      </c>
      <c r="J62" s="44"/>
      <c r="K62" s="44"/>
      <c r="L62" s="44"/>
    </row>
    <row r="63" spans="5:12" ht="13.5" thickBot="1" x14ac:dyDescent="0.25">
      <c r="E63" s="50">
        <v>205</v>
      </c>
      <c r="F63" s="50">
        <v>215</v>
      </c>
      <c r="G63" s="20">
        <v>422</v>
      </c>
      <c r="H63" s="21">
        <v>432</v>
      </c>
      <c r="J63" s="44"/>
      <c r="K63" s="44"/>
      <c r="L63" s="44"/>
    </row>
    <row r="64" spans="5:12" ht="13.5" thickBot="1" x14ac:dyDescent="0.25">
      <c r="E64" s="50">
        <v>215</v>
      </c>
      <c r="F64" s="50">
        <v>226</v>
      </c>
      <c r="G64" s="21">
        <v>432</v>
      </c>
      <c r="H64" s="20">
        <v>442</v>
      </c>
      <c r="J64" s="44"/>
      <c r="K64" s="44"/>
      <c r="L64" s="44"/>
    </row>
    <row r="65" spans="5:12" ht="13.5" thickBot="1" x14ac:dyDescent="0.25">
      <c r="E65" s="50">
        <v>226</v>
      </c>
      <c r="F65" s="50">
        <v>237</v>
      </c>
      <c r="G65" s="20">
        <v>442</v>
      </c>
      <c r="H65" s="21">
        <v>453</v>
      </c>
      <c r="J65" s="44"/>
      <c r="K65" s="44"/>
      <c r="L65" s="44"/>
    </row>
    <row r="66" spans="5:12" ht="13.5" thickBot="1" x14ac:dyDescent="0.25">
      <c r="E66" s="50">
        <v>237</v>
      </c>
      <c r="F66" s="50">
        <v>249</v>
      </c>
      <c r="G66" s="21">
        <v>453</v>
      </c>
      <c r="H66" s="20">
        <v>464</v>
      </c>
      <c r="J66" s="44"/>
      <c r="K66" s="44"/>
      <c r="L66" s="44"/>
    </row>
    <row r="67" spans="5:12" ht="13.5" thickBot="1" x14ac:dyDescent="0.25">
      <c r="E67" s="50">
        <v>249</v>
      </c>
      <c r="F67" s="50">
        <v>261</v>
      </c>
      <c r="G67" s="20">
        <v>464</v>
      </c>
      <c r="H67" s="21">
        <v>475</v>
      </c>
      <c r="J67" s="44"/>
      <c r="K67" s="44"/>
      <c r="L67" s="44"/>
    </row>
    <row r="68" spans="5:12" ht="13.5" thickBot="1" x14ac:dyDescent="0.25">
      <c r="E68" s="50">
        <v>261</v>
      </c>
      <c r="F68" s="50">
        <v>274</v>
      </c>
      <c r="G68" s="21">
        <v>475</v>
      </c>
      <c r="H68" s="20">
        <v>487</v>
      </c>
      <c r="J68" s="44"/>
      <c r="K68" s="44"/>
      <c r="L68" s="44"/>
    </row>
    <row r="69" spans="5:12" ht="13.5" thickBot="1" x14ac:dyDescent="0.25">
      <c r="E69" s="50">
        <v>274</v>
      </c>
      <c r="F69" s="50">
        <v>287</v>
      </c>
      <c r="G69" s="20">
        <v>487</v>
      </c>
      <c r="H69" s="21">
        <v>499</v>
      </c>
      <c r="J69" s="44"/>
      <c r="K69" s="44"/>
      <c r="L69" s="44"/>
    </row>
    <row r="70" spans="5:12" ht="13.5" thickBot="1" x14ac:dyDescent="0.25">
      <c r="E70" s="50">
        <v>287</v>
      </c>
      <c r="F70" s="50">
        <v>301</v>
      </c>
      <c r="G70" s="21">
        <v>499</v>
      </c>
      <c r="H70" s="20">
        <v>511</v>
      </c>
      <c r="J70" s="44"/>
      <c r="K70" s="44"/>
      <c r="L70" s="44"/>
    </row>
    <row r="71" spans="5:12" ht="13.5" thickBot="1" x14ac:dyDescent="0.25">
      <c r="E71" s="50">
        <v>301</v>
      </c>
      <c r="F71" s="50">
        <v>316</v>
      </c>
      <c r="G71" s="20">
        <v>511</v>
      </c>
      <c r="H71" s="21">
        <v>523</v>
      </c>
      <c r="J71" s="44"/>
      <c r="K71" s="44"/>
      <c r="L71" s="44"/>
    </row>
    <row r="72" spans="5:12" ht="13.5" thickBot="1" x14ac:dyDescent="0.25">
      <c r="E72" s="50">
        <v>316</v>
      </c>
      <c r="F72" s="50">
        <v>332</v>
      </c>
      <c r="G72" s="21">
        <v>523</v>
      </c>
      <c r="H72" s="20">
        <v>536</v>
      </c>
      <c r="J72" s="44"/>
      <c r="K72" s="44"/>
      <c r="L72" s="44"/>
    </row>
    <row r="73" spans="5:12" ht="13.5" thickBot="1" x14ac:dyDescent="0.25">
      <c r="E73" s="50">
        <v>332</v>
      </c>
      <c r="F73" s="50">
        <v>348</v>
      </c>
      <c r="G73" s="20">
        <v>536</v>
      </c>
      <c r="H73" s="21">
        <v>549</v>
      </c>
      <c r="J73" s="44"/>
      <c r="K73" s="44"/>
      <c r="L73" s="44"/>
    </row>
    <row r="74" spans="5:12" ht="13.5" thickBot="1" x14ac:dyDescent="0.25">
      <c r="E74" s="50">
        <v>348</v>
      </c>
      <c r="F74" s="50">
        <v>365</v>
      </c>
      <c r="G74" s="21">
        <v>549</v>
      </c>
      <c r="H74" s="20">
        <v>562</v>
      </c>
      <c r="J74" s="44"/>
      <c r="K74" s="44"/>
      <c r="L74" s="44"/>
    </row>
    <row r="75" spans="5:12" ht="13.5" thickBot="1" x14ac:dyDescent="0.25">
      <c r="E75" s="50">
        <v>365</v>
      </c>
      <c r="F75" s="50">
        <v>383</v>
      </c>
      <c r="G75" s="20">
        <v>562</v>
      </c>
      <c r="H75" s="21">
        <v>576</v>
      </c>
      <c r="J75" s="51"/>
      <c r="K75" s="51"/>
      <c r="L75" s="51"/>
    </row>
    <row r="76" spans="5:12" ht="13.5" thickBot="1" x14ac:dyDescent="0.25">
      <c r="E76" s="50">
        <v>383</v>
      </c>
      <c r="F76" s="50">
        <v>402</v>
      </c>
      <c r="G76" s="21">
        <v>576</v>
      </c>
      <c r="H76" s="20">
        <v>590</v>
      </c>
      <c r="J76" s="51"/>
      <c r="K76" s="51"/>
      <c r="L76" s="51"/>
    </row>
    <row r="77" spans="5:12" ht="13.5" thickBot="1" x14ac:dyDescent="0.25">
      <c r="E77" s="50">
        <v>402</v>
      </c>
      <c r="F77" s="50">
        <v>422</v>
      </c>
      <c r="G77" s="20">
        <v>590</v>
      </c>
      <c r="H77" s="21">
        <v>604</v>
      </c>
      <c r="J77" s="51"/>
      <c r="K77" s="51"/>
      <c r="L77" s="51"/>
    </row>
    <row r="78" spans="5:12" ht="13.5" thickBot="1" x14ac:dyDescent="0.25">
      <c r="E78" s="50">
        <v>422</v>
      </c>
      <c r="F78" s="50">
        <v>442</v>
      </c>
      <c r="G78" s="21">
        <v>604</v>
      </c>
      <c r="H78" s="20">
        <v>619</v>
      </c>
      <c r="J78" s="51"/>
      <c r="K78" s="51"/>
      <c r="L78" s="51"/>
    </row>
    <row r="79" spans="5:12" ht="13.5" thickBot="1" x14ac:dyDescent="0.25">
      <c r="E79" s="50">
        <v>442</v>
      </c>
      <c r="F79" s="50">
        <v>464</v>
      </c>
      <c r="G79" s="20">
        <v>619</v>
      </c>
      <c r="H79" s="21">
        <v>634</v>
      </c>
      <c r="J79" s="51"/>
      <c r="K79" s="51"/>
      <c r="L79" s="51"/>
    </row>
    <row r="80" spans="5:12" ht="13.5" thickBot="1" x14ac:dyDescent="0.25">
      <c r="E80" s="50">
        <v>464</v>
      </c>
      <c r="F80" s="50">
        <v>487</v>
      </c>
      <c r="G80" s="21">
        <v>634</v>
      </c>
      <c r="H80" s="20">
        <v>649</v>
      </c>
      <c r="J80" s="51"/>
      <c r="K80" s="51"/>
      <c r="L80" s="51"/>
    </row>
    <row r="81" spans="5:12" ht="13.5" thickBot="1" x14ac:dyDescent="0.25">
      <c r="E81" s="50">
        <v>487</v>
      </c>
      <c r="F81" s="50">
        <v>511</v>
      </c>
      <c r="G81" s="20">
        <v>649</v>
      </c>
      <c r="H81" s="21">
        <v>665</v>
      </c>
      <c r="J81" s="51"/>
      <c r="K81" s="51"/>
      <c r="L81" s="51"/>
    </row>
    <row r="82" spans="5:12" ht="13.5" thickBot="1" x14ac:dyDescent="0.25">
      <c r="E82" s="50">
        <v>511</v>
      </c>
      <c r="F82" s="50">
        <v>536</v>
      </c>
      <c r="G82" s="21">
        <v>665</v>
      </c>
      <c r="H82" s="20">
        <v>681</v>
      </c>
      <c r="J82" s="51"/>
      <c r="K82" s="51"/>
      <c r="L82" s="51"/>
    </row>
    <row r="83" spans="5:12" ht="13.5" thickBot="1" x14ac:dyDescent="0.25">
      <c r="E83" s="50">
        <v>536</v>
      </c>
      <c r="F83" s="50">
        <v>562</v>
      </c>
      <c r="G83" s="20">
        <v>681</v>
      </c>
      <c r="H83" s="21">
        <v>698</v>
      </c>
      <c r="J83" s="51"/>
      <c r="K83" s="51"/>
      <c r="L83" s="51"/>
    </row>
    <row r="84" spans="5:12" ht="13.5" thickBot="1" x14ac:dyDescent="0.25">
      <c r="E84" s="50">
        <v>562</v>
      </c>
      <c r="F84" s="50">
        <v>590</v>
      </c>
      <c r="G84" s="21">
        <v>698</v>
      </c>
      <c r="H84" s="20">
        <v>715</v>
      </c>
      <c r="J84" s="51"/>
      <c r="K84" s="51"/>
      <c r="L84" s="51"/>
    </row>
    <row r="85" spans="5:12" ht="13.5" thickBot="1" x14ac:dyDescent="0.25">
      <c r="E85" s="50">
        <v>590</v>
      </c>
      <c r="F85" s="50">
        <v>619</v>
      </c>
      <c r="G85" s="20">
        <v>715</v>
      </c>
      <c r="H85" s="21">
        <v>732</v>
      </c>
      <c r="J85" s="51"/>
      <c r="K85" s="51"/>
      <c r="L85" s="51"/>
    </row>
    <row r="86" spans="5:12" ht="13.5" thickBot="1" x14ac:dyDescent="0.25">
      <c r="E86" s="50">
        <v>619</v>
      </c>
      <c r="F86" s="50">
        <v>649</v>
      </c>
      <c r="G86" s="21">
        <v>732</v>
      </c>
      <c r="H86" s="20">
        <v>750</v>
      </c>
      <c r="J86" s="51"/>
      <c r="K86" s="51"/>
      <c r="L86" s="51"/>
    </row>
    <row r="87" spans="5:12" ht="13.5" thickBot="1" x14ac:dyDescent="0.25">
      <c r="E87" s="50">
        <v>649</v>
      </c>
      <c r="F87" s="50">
        <v>681</v>
      </c>
      <c r="G87" s="20">
        <v>750</v>
      </c>
      <c r="H87" s="21">
        <v>768</v>
      </c>
      <c r="J87" s="51"/>
      <c r="K87" s="51"/>
      <c r="L87" s="51"/>
    </row>
    <row r="88" spans="5:12" ht="13.5" thickBot="1" x14ac:dyDescent="0.25">
      <c r="E88" s="50">
        <v>681</v>
      </c>
      <c r="F88" s="50">
        <v>715</v>
      </c>
      <c r="G88" s="21">
        <v>768</v>
      </c>
      <c r="H88" s="20">
        <v>787</v>
      </c>
      <c r="J88" s="51"/>
      <c r="K88" s="51"/>
      <c r="L88" s="51"/>
    </row>
    <row r="89" spans="5:12" ht="13.5" thickBot="1" x14ac:dyDescent="0.25">
      <c r="E89" s="50">
        <v>715</v>
      </c>
      <c r="F89" s="50">
        <v>750</v>
      </c>
      <c r="G89" s="20">
        <v>787</v>
      </c>
      <c r="H89" s="21">
        <v>806</v>
      </c>
      <c r="J89" s="51"/>
      <c r="K89" s="51"/>
      <c r="L89" s="51"/>
    </row>
    <row r="90" spans="5:12" ht="13.5" thickBot="1" x14ac:dyDescent="0.25">
      <c r="E90" s="50">
        <v>750</v>
      </c>
      <c r="F90" s="50">
        <v>787</v>
      </c>
      <c r="G90" s="21">
        <v>806</v>
      </c>
      <c r="H90" s="20">
        <v>825</v>
      </c>
      <c r="J90" s="51"/>
      <c r="K90" s="51"/>
      <c r="L90" s="51"/>
    </row>
    <row r="91" spans="5:12" ht="13.5" thickBot="1" x14ac:dyDescent="0.25">
      <c r="E91" s="50">
        <v>787</v>
      </c>
      <c r="F91" s="50">
        <v>825</v>
      </c>
      <c r="G91" s="20">
        <v>825</v>
      </c>
      <c r="H91" s="21">
        <v>845</v>
      </c>
      <c r="J91" s="51"/>
      <c r="K91" s="51"/>
      <c r="L91" s="51"/>
    </row>
    <row r="92" spans="5:12" ht="13.5" thickBot="1" x14ac:dyDescent="0.25">
      <c r="E92" s="50">
        <v>825</v>
      </c>
      <c r="F92" s="50">
        <v>866</v>
      </c>
      <c r="G92" s="21">
        <v>845</v>
      </c>
      <c r="H92" s="20">
        <v>866</v>
      </c>
      <c r="J92" s="51"/>
      <c r="K92" s="51"/>
      <c r="L92" s="51"/>
    </row>
    <row r="93" spans="5:12" ht="13.5" thickBot="1" x14ac:dyDescent="0.25">
      <c r="E93" s="50">
        <v>866</v>
      </c>
      <c r="F93" s="50">
        <v>909</v>
      </c>
      <c r="G93" s="20">
        <v>866</v>
      </c>
      <c r="H93" s="21">
        <v>887</v>
      </c>
      <c r="J93" s="51"/>
      <c r="K93" s="51"/>
      <c r="L93" s="51"/>
    </row>
    <row r="94" spans="5:12" ht="13.5" thickBot="1" x14ac:dyDescent="0.25">
      <c r="E94" s="50">
        <v>909</v>
      </c>
      <c r="F94" s="50">
        <v>953</v>
      </c>
      <c r="G94" s="21">
        <v>887</v>
      </c>
      <c r="H94" s="20">
        <v>909</v>
      </c>
      <c r="J94" s="51"/>
      <c r="K94" s="51"/>
      <c r="L94" s="51"/>
    </row>
    <row r="95" spans="5:12" ht="13.5" thickBot="1" x14ac:dyDescent="0.25">
      <c r="E95" s="50">
        <v>953</v>
      </c>
      <c r="F95" s="50">
        <v>1000</v>
      </c>
      <c r="G95" s="20">
        <v>909</v>
      </c>
      <c r="H95" s="21">
        <v>931</v>
      </c>
      <c r="J95" s="51"/>
      <c r="K95" s="51"/>
      <c r="L95" s="51"/>
    </row>
    <row r="96" spans="5:12" ht="13.5" thickBot="1" x14ac:dyDescent="0.25">
      <c r="G96" s="21">
        <v>931</v>
      </c>
      <c r="H96" s="20">
        <v>953</v>
      </c>
      <c r="J96" s="51"/>
      <c r="K96" s="51"/>
      <c r="L96" s="51"/>
    </row>
    <row r="97" spans="7:12" ht="13.5" thickBot="1" x14ac:dyDescent="0.25">
      <c r="G97" s="20">
        <v>953</v>
      </c>
      <c r="H97" s="21">
        <v>976</v>
      </c>
      <c r="J97" s="51"/>
      <c r="K97" s="51"/>
      <c r="L97" s="51"/>
    </row>
    <row r="98" spans="7:12" ht="13.5" thickBot="1" x14ac:dyDescent="0.25">
      <c r="G98" s="21">
        <v>976</v>
      </c>
      <c r="H98" s="21">
        <v>1000</v>
      </c>
      <c r="J98" s="51"/>
      <c r="K98" s="51"/>
      <c r="L98" s="51"/>
    </row>
    <row r="99" spans="7:12" x14ac:dyDescent="0.2">
      <c r="J99" s="51"/>
      <c r="K99" s="51"/>
      <c r="L99" s="51"/>
    </row>
    <row r="100" spans="7:12" x14ac:dyDescent="0.2">
      <c r="J100" s="51"/>
      <c r="K100" s="51"/>
      <c r="L100" s="51"/>
    </row>
    <row r="101" spans="7:12" x14ac:dyDescent="0.2">
      <c r="J101" s="51"/>
      <c r="K101" s="51"/>
      <c r="L101" s="51"/>
    </row>
    <row r="102" spans="7:12" x14ac:dyDescent="0.2">
      <c r="J102" s="51"/>
      <c r="K102" s="51"/>
      <c r="L102" s="51"/>
    </row>
    <row r="103" spans="7:12" x14ac:dyDescent="0.2">
      <c r="J103" s="51"/>
      <c r="K103" s="51"/>
      <c r="L103" s="51"/>
    </row>
    <row r="104" spans="7:12" x14ac:dyDescent="0.2">
      <c r="J104" s="51"/>
      <c r="K104" s="51"/>
      <c r="L104" s="51"/>
    </row>
    <row r="105" spans="7:12" x14ac:dyDescent="0.2">
      <c r="J105" s="51"/>
      <c r="K105" s="51"/>
      <c r="L105" s="51"/>
    </row>
    <row r="106" spans="7:12" x14ac:dyDescent="0.2">
      <c r="J106" s="51"/>
      <c r="K106" s="51"/>
      <c r="L106" s="51"/>
    </row>
    <row r="107" spans="7:12" x14ac:dyDescent="0.2">
      <c r="J107" s="51"/>
      <c r="K107" s="51"/>
      <c r="L107" s="51"/>
    </row>
    <row r="108" spans="7:12" x14ac:dyDescent="0.2">
      <c r="J108" s="51"/>
      <c r="K108" s="51"/>
      <c r="L108" s="51"/>
    </row>
    <row r="109" spans="7:12" x14ac:dyDescent="0.2">
      <c r="J109" s="51"/>
      <c r="K109" s="51"/>
      <c r="L109" s="51"/>
    </row>
    <row r="110" spans="7:12" x14ac:dyDescent="0.2">
      <c r="J110" s="51"/>
      <c r="K110" s="51"/>
      <c r="L110" s="51"/>
    </row>
    <row r="111" spans="7:12" x14ac:dyDescent="0.2">
      <c r="J111" s="51"/>
      <c r="K111" s="51"/>
      <c r="L111" s="51"/>
    </row>
    <row r="112" spans="7:12" x14ac:dyDescent="0.2">
      <c r="J112" s="51"/>
      <c r="K112" s="51"/>
      <c r="L112" s="51"/>
    </row>
    <row r="113" spans="10:12" x14ac:dyDescent="0.2">
      <c r="J113" s="51"/>
      <c r="K113" s="51"/>
      <c r="L113" s="51"/>
    </row>
    <row r="114" spans="10:12" x14ac:dyDescent="0.2">
      <c r="J114" s="51"/>
      <c r="K114" s="51"/>
      <c r="L114" s="51"/>
    </row>
    <row r="115" spans="10:12" x14ac:dyDescent="0.2">
      <c r="J115" s="51"/>
      <c r="K115" s="51"/>
      <c r="L115" s="51"/>
    </row>
    <row r="116" spans="10:12" x14ac:dyDescent="0.2">
      <c r="J116" s="51"/>
      <c r="K116" s="51"/>
      <c r="L116" s="51"/>
    </row>
    <row r="117" spans="10:12" x14ac:dyDescent="0.2">
      <c r="J117" s="51"/>
      <c r="K117" s="51"/>
      <c r="L117" s="51"/>
    </row>
    <row r="118" spans="10:12" x14ac:dyDescent="0.2">
      <c r="J118" s="51"/>
      <c r="K118" s="51"/>
      <c r="L118" s="51"/>
    </row>
    <row r="119" spans="10:12" x14ac:dyDescent="0.2">
      <c r="J119" s="51"/>
      <c r="K119" s="51"/>
      <c r="L119" s="51"/>
    </row>
    <row r="120" spans="10:12" x14ac:dyDescent="0.2">
      <c r="J120" s="51"/>
      <c r="K120" s="51"/>
      <c r="L120" s="51"/>
    </row>
    <row r="121" spans="10:12" x14ac:dyDescent="0.2">
      <c r="J121" s="51"/>
      <c r="K121" s="51"/>
      <c r="L121" s="51"/>
    </row>
    <row r="122" spans="10:12" x14ac:dyDescent="0.2">
      <c r="J122" s="51"/>
      <c r="K122" s="51"/>
      <c r="L122" s="51"/>
    </row>
    <row r="123" spans="10:12" x14ac:dyDescent="0.2">
      <c r="J123" s="51"/>
      <c r="K123" s="51"/>
      <c r="L123" s="51"/>
    </row>
    <row r="124" spans="10:12" x14ac:dyDescent="0.2">
      <c r="J124" s="51"/>
      <c r="K124" s="51"/>
      <c r="L124" s="51"/>
    </row>
    <row r="125" spans="10:12" x14ac:dyDescent="0.2">
      <c r="J125" s="51"/>
      <c r="K125" s="51"/>
      <c r="L125" s="51"/>
    </row>
    <row r="126" spans="10:12" x14ac:dyDescent="0.2">
      <c r="J126" s="51"/>
      <c r="K126" s="51"/>
      <c r="L126" s="51"/>
    </row>
    <row r="127" spans="10:12" x14ac:dyDescent="0.2">
      <c r="J127" s="51"/>
      <c r="K127" s="51"/>
      <c r="L127" s="51"/>
    </row>
    <row r="128" spans="10:12" x14ac:dyDescent="0.2">
      <c r="J128" s="51"/>
      <c r="K128" s="51"/>
      <c r="L128" s="51"/>
    </row>
    <row r="129" spans="10:12" x14ac:dyDescent="0.2">
      <c r="J129" s="51"/>
      <c r="K129" s="51"/>
      <c r="L129" s="51"/>
    </row>
    <row r="130" spans="10:12" x14ac:dyDescent="0.2">
      <c r="J130" s="51"/>
      <c r="K130" s="51"/>
      <c r="L130" s="51"/>
    </row>
    <row r="131" spans="10:12" x14ac:dyDescent="0.2">
      <c r="J131" s="51"/>
      <c r="K131" s="51"/>
      <c r="L131" s="51"/>
    </row>
    <row r="132" spans="10:12" x14ac:dyDescent="0.2">
      <c r="J132" s="51"/>
      <c r="K132" s="51"/>
      <c r="L132" s="51"/>
    </row>
    <row r="133" spans="10:12" x14ac:dyDescent="0.2">
      <c r="J133" s="51"/>
      <c r="K133" s="51"/>
      <c r="L133" s="51"/>
    </row>
    <row r="134" spans="10:12" x14ac:dyDescent="0.2">
      <c r="J134" s="51"/>
      <c r="K134" s="51"/>
      <c r="L134" s="51"/>
    </row>
    <row r="135" spans="10:12" x14ac:dyDescent="0.2">
      <c r="J135" s="51"/>
      <c r="K135" s="51"/>
      <c r="L135" s="51"/>
    </row>
    <row r="136" spans="10:12" x14ac:dyDescent="0.2">
      <c r="J136" s="51"/>
      <c r="K136" s="51"/>
      <c r="L136" s="51"/>
    </row>
    <row r="137" spans="10:12" x14ac:dyDescent="0.2">
      <c r="J137" s="51"/>
      <c r="K137" s="51"/>
      <c r="L137" s="51"/>
    </row>
    <row r="138" spans="10:12" x14ac:dyDescent="0.2">
      <c r="J138" s="51"/>
      <c r="K138" s="51"/>
      <c r="L138" s="51"/>
    </row>
    <row r="139" spans="10:12" x14ac:dyDescent="0.2">
      <c r="J139" s="51"/>
      <c r="K139" s="51"/>
      <c r="L139" s="51"/>
    </row>
    <row r="140" spans="10:12" x14ac:dyDescent="0.2">
      <c r="J140" s="51"/>
      <c r="K140" s="51"/>
      <c r="L140" s="51"/>
    </row>
    <row r="141" spans="10:12" x14ac:dyDescent="0.2">
      <c r="J141" s="51"/>
      <c r="K141" s="51"/>
      <c r="L141" s="51"/>
    </row>
    <row r="142" spans="10:12" x14ac:dyDescent="0.2">
      <c r="J142" s="51"/>
      <c r="K142" s="51"/>
      <c r="L142" s="51"/>
    </row>
    <row r="143" spans="10:12" x14ac:dyDescent="0.2">
      <c r="J143" s="51"/>
      <c r="K143" s="51"/>
      <c r="L143" s="51"/>
    </row>
    <row r="144" spans="10:12" x14ac:dyDescent="0.2">
      <c r="J144" s="51"/>
      <c r="K144" s="51"/>
      <c r="L144" s="51"/>
    </row>
    <row r="145" spans="10:12" x14ac:dyDescent="0.2">
      <c r="J145" s="51"/>
      <c r="K145" s="51"/>
      <c r="L145" s="51"/>
    </row>
  </sheetData>
  <mergeCells count="5">
    <mergeCell ref="E47:F47"/>
    <mergeCell ref="E2:F2"/>
    <mergeCell ref="G2:H2"/>
    <mergeCell ref="E9:F9"/>
    <mergeCell ref="E22:F2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96</vt:i4>
      </vt:variant>
    </vt:vector>
  </HeadingPairs>
  <TitlesOfParts>
    <vt:vector size="104" baseType="lpstr">
      <vt:lpstr>Instructions</vt:lpstr>
      <vt:lpstr>Functional Schematic</vt:lpstr>
      <vt:lpstr>Design Information</vt:lpstr>
      <vt:lpstr>Figure of T1 Current</vt:lpstr>
      <vt:lpstr>TABSET Valley Switching</vt:lpstr>
      <vt:lpstr>TCDSET Valley Switching</vt:lpstr>
      <vt:lpstr>Voltage Loop</vt:lpstr>
      <vt:lpstr>Standard R and C Look Up Table</vt:lpstr>
      <vt:lpstr>_imp2</vt:lpstr>
      <vt:lpstr>_ims2</vt:lpstr>
      <vt:lpstr>_ipp1</vt:lpstr>
      <vt:lpstr>_ta1</vt:lpstr>
      <vt:lpstr>_ta11</vt:lpstr>
      <vt:lpstr>_ta2</vt:lpstr>
      <vt:lpstr>_taa1</vt:lpstr>
      <vt:lpstr>_va1</vt:lpstr>
      <vt:lpstr>C_enter</vt:lpstr>
      <vt:lpstr>C_f1</vt:lpstr>
      <vt:lpstr>C_f2</vt:lpstr>
      <vt:lpstr>c_s1</vt:lpstr>
      <vt:lpstr>C_s2</vt:lpstr>
      <vt:lpstr>Center</vt:lpstr>
      <vt:lpstr>constant</vt:lpstr>
      <vt:lpstr>cossqaavg</vt:lpstr>
      <vt:lpstr>cossqaspec</vt:lpstr>
      <vt:lpstr>cossqeavg</vt:lpstr>
      <vt:lpstr>cout</vt:lpstr>
      <vt:lpstr>Cp</vt:lpstr>
      <vt:lpstr>Cstandard</vt:lpstr>
      <vt:lpstr>Cz</vt:lpstr>
      <vt:lpstr>d2a</vt:lpstr>
      <vt:lpstr>dclamp</vt:lpstr>
      <vt:lpstr>dcrlout</vt:lpstr>
      <vt:lpstr>dcrp</vt:lpstr>
      <vt:lpstr>dcrs</vt:lpstr>
      <vt:lpstr>dilmag</vt:lpstr>
      <vt:lpstr>dilout</vt:lpstr>
      <vt:lpstr>dmax</vt:lpstr>
      <vt:lpstr>dtyp</vt:lpstr>
      <vt:lpstr>E12_f</vt:lpstr>
      <vt:lpstr>E12_s</vt:lpstr>
      <vt:lpstr>E24_f</vt:lpstr>
      <vt:lpstr>E24_s</vt:lpstr>
      <vt:lpstr>E48_f</vt:lpstr>
      <vt:lpstr>E48_s</vt:lpstr>
      <vt:lpstr>E6_f</vt:lpstr>
      <vt:lpstr>E6_s</vt:lpstr>
      <vt:lpstr>E96_f</vt:lpstr>
      <vt:lpstr>E96_s</vt:lpstr>
      <vt:lpstr>Eff</vt:lpstr>
      <vt:lpstr>esrcout</vt:lpstr>
      <vt:lpstr>fc</vt:lpstr>
      <vt:lpstr>fpp</vt:lpstr>
      <vt:lpstr>fs</vt:lpstr>
      <vt:lpstr>iloutrms</vt:lpstr>
      <vt:lpstr>imp</vt:lpstr>
      <vt:lpstr>ims</vt:lpstr>
      <vt:lpstr>ipp</vt:lpstr>
      <vt:lpstr>iprms</vt:lpstr>
      <vt:lpstr>iprms1</vt:lpstr>
      <vt:lpstr>iprms2</vt:lpstr>
      <vt:lpstr>ips</vt:lpstr>
      <vt:lpstr>isrms</vt:lpstr>
      <vt:lpstr>isrms1</vt:lpstr>
      <vt:lpstr>isrms2</vt:lpstr>
      <vt:lpstr>isrms3</vt:lpstr>
      <vt:lpstr>llk</vt:lpstr>
      <vt:lpstr>lmag</vt:lpstr>
      <vt:lpstr>lmag1</vt:lpstr>
      <vt:lpstr>lmag2</vt:lpstr>
      <vt:lpstr>lout</vt:lpstr>
      <vt:lpstr>ls</vt:lpstr>
      <vt:lpstr>n1divd1</vt:lpstr>
      <vt:lpstr>pbudget</vt:lpstr>
      <vt:lpstr>pout</vt:lpstr>
      <vt:lpstr>QAg</vt:lpstr>
      <vt:lpstr>qeg</vt:lpstr>
      <vt:lpstr>rdsonqa</vt:lpstr>
      <vt:lpstr>rdsonqe</vt:lpstr>
      <vt:lpstr>rf</vt:lpstr>
      <vt:lpstr>RII</vt:lpstr>
      <vt:lpstr>rload</vt:lpstr>
      <vt:lpstr>RS</vt:lpstr>
      <vt:lpstr>sta</vt:lpstr>
      <vt:lpstr>stb</vt:lpstr>
      <vt:lpstr>tabset</vt:lpstr>
      <vt:lpstr>tafset</vt:lpstr>
      <vt:lpstr>tcdset</vt:lpstr>
      <vt:lpstr>tdelay</vt:lpstr>
      <vt:lpstr>thu</vt:lpstr>
      <vt:lpstr>tr</vt:lpstr>
      <vt:lpstr>vadel</vt:lpstr>
      <vt:lpstr>vdsqe</vt:lpstr>
      <vt:lpstr>vg</vt:lpstr>
      <vt:lpstr>vin</vt:lpstr>
      <vt:lpstr>VINMAX</vt:lpstr>
      <vt:lpstr>VINMIAX</vt:lpstr>
      <vt:lpstr>VINMIN</vt:lpstr>
      <vt:lpstr>VOUT</vt:lpstr>
      <vt:lpstr>voutmin</vt:lpstr>
      <vt:lpstr>vrdson</vt:lpstr>
      <vt:lpstr>Vslope1</vt:lpstr>
      <vt:lpstr>Vslope2</vt:lpstr>
      <vt:lpstr>VTRAN</vt:lpstr>
    </vt:vector>
  </TitlesOfParts>
  <Company>Texas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O'Loughlin</dc:creator>
  <cp:lastModifiedBy>东方云</cp:lastModifiedBy>
  <cp:lastPrinted>2010-06-11T18:34:05Z</cp:lastPrinted>
  <dcterms:created xsi:type="dcterms:W3CDTF">2010-04-19T17:22:29Z</dcterms:created>
  <dcterms:modified xsi:type="dcterms:W3CDTF">2018-03-11T06:39:43Z</dcterms:modified>
</cp:coreProperties>
</file>