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45" windowWidth="13275" windowHeight="9660" tabRatio="806" activeTab="2"/>
  </bookViews>
  <sheets>
    <sheet name="Instructions" sheetId="2" r:id="rId1"/>
    <sheet name="Functional Schematic" sheetId="7" r:id="rId2"/>
    <sheet name="Design Information" sheetId="1" r:id="rId3"/>
    <sheet name="Figure of T1 Current" sheetId="8" r:id="rId4"/>
    <sheet name="TABSET Valley Switching" sheetId="9" r:id="rId5"/>
    <sheet name="TCDSET Valley Switching" sheetId="10" r:id="rId6"/>
    <sheet name="Voltage Loop" sheetId="6" state="hidden" r:id="rId7"/>
    <sheet name="Standard R and C Look Up Table" sheetId="3" state="hidden" r:id="rId8"/>
  </sheets>
  <externalReferences>
    <externalReference r:id="rId9"/>
  </externalReferences>
  <definedNames>
    <definedName name="_imp2">'Design Information'!$C$40</definedName>
    <definedName name="_ims2">'Design Information'!$C$32</definedName>
    <definedName name="_ipp1">'Design Information'!$C$112</definedName>
    <definedName name="_st1">'Design Information'!#REF!</definedName>
    <definedName name="_st10">'Standard R and C Look Up Table'!#REF!</definedName>
    <definedName name="_st11">'Standard R and C Look Up Table'!#REF!</definedName>
    <definedName name="_st12">'Standard R and C Look Up Table'!#REF!</definedName>
    <definedName name="_st13">'Standard R and C Look Up Table'!#REF!</definedName>
    <definedName name="_st14">'Standard R and C Look Up Table'!#REF!</definedName>
    <definedName name="_st15">'Standard R and C Look Up Table'!#REF!</definedName>
    <definedName name="_st16">'Standard R and C Look Up Table'!#REF!</definedName>
    <definedName name="_st17">'Standard R and C Look Up Table'!#REF!</definedName>
    <definedName name="_st18">'Standard R and C Look Up Table'!#REF!</definedName>
    <definedName name="_st2">'Design Information'!#REF!</definedName>
    <definedName name="_st3">'Standard R and C Look Up Table'!#REF!</definedName>
    <definedName name="_st4">'Standard R and C Look Up Table'!#REF!</definedName>
    <definedName name="_st5">'Standard R and C Look Up Table'!#REF!</definedName>
    <definedName name="_st6">'Standard R and C Look Up Table'!#REF!</definedName>
    <definedName name="_st7">'Standard R and C Look Up Table'!#REF!</definedName>
    <definedName name="_st8">'Standard R and C Look Up Table'!#REF!</definedName>
    <definedName name="_st9">'Standard R and C Look Up Table'!#REF!</definedName>
    <definedName name="_std2">'Design Information'!#REF!</definedName>
    <definedName name="_ta1">'Design Information'!$C$25</definedName>
    <definedName name="_ta11">'Design Information'!$C$25</definedName>
    <definedName name="_ta2">'Design Information'!$C$111</definedName>
    <definedName name="_taa1">'Design Information'!$C$26</definedName>
    <definedName name="_va1">'Design Information'!$C$120</definedName>
    <definedName name="C_enter">'Standard R and C Look Up Table'!$K$2</definedName>
    <definedName name="C_f1">'Standard R and C Look Up Table'!$K$17</definedName>
    <definedName name="C_f2">'Standard R and C Look Up Table'!$K$24</definedName>
    <definedName name="c_s1">'Standard R and C Look Up Table'!$J$6</definedName>
    <definedName name="C_s2">'Standard R and C Look Up Table'!$J$19</definedName>
    <definedName name="Center">'Standard R and C Look Up Table'!$K$2</definedName>
    <definedName name="constant">'Design Information'!$C$132</definedName>
    <definedName name="cossqaavg">'Design Information'!$C$56</definedName>
    <definedName name="cossqaspec">'Design Information'!$C$53</definedName>
    <definedName name="cossqeavg">'Design Information'!$C$90</definedName>
    <definedName name="cout">'Design Information'!$C$80</definedName>
    <definedName name="Cp">'Design Information'!$C$151</definedName>
    <definedName name="CPC">'[1]Design Information'!$C$87</definedName>
    <definedName name="Cstandard">'Standard R and C Look Up Table'!$K$3</definedName>
    <definedName name="Cz">'Design Information'!$C$146</definedName>
    <definedName name="CZC">'[1]Design Information'!$C$85</definedName>
    <definedName name="d2a">'Design Information'!$C$135</definedName>
    <definedName name="dclamp">'Design Information'!$C$102</definedName>
    <definedName name="dcrlout">'Design Information'!$C$69</definedName>
    <definedName name="dcrp">'Design Information'!$C$45</definedName>
    <definedName name="dcrs">'Design Information'!$C$46</definedName>
    <definedName name="dilmag">'Design Information'!$C$37</definedName>
    <definedName name="dilout">'Design Information'!$C$28</definedName>
    <definedName name="dmax">'Design Information'!$C$24</definedName>
    <definedName name="dtyp">'Design Information'!$C$27</definedName>
    <definedName name="E12_f">'Standard R and C Look Up Table'!$F$21</definedName>
    <definedName name="E12_s">'Standard R and C Look Up Table'!$E$10</definedName>
    <definedName name="E24_f">'Standard R and C Look Up Table'!$F$46</definedName>
    <definedName name="E24_s">'Standard R and C Look Up Table'!$E$23</definedName>
    <definedName name="E48_f">'Standard R and C Look Up Table'!$F$95</definedName>
    <definedName name="E48_s">'Standard R and C Look Up Table'!$E$48</definedName>
    <definedName name="E6_f">'Standard R and C Look Up Table'!$F$8</definedName>
    <definedName name="E6_s">'Standard R and C Look Up Table'!$E$3</definedName>
    <definedName name="E96_f">'Standard R and C Look Up Table'!$H$98</definedName>
    <definedName name="E96_s">'Standard R and C Look Up Table'!$G$3</definedName>
    <definedName name="Eff">'Design Information'!$B$17</definedName>
    <definedName name="esrcout">'Design Information'!$C$81</definedName>
    <definedName name="fc">'Design Information'!$C$130</definedName>
    <definedName name="fpp">'Design Information'!$C$129</definedName>
    <definedName name="fs">'Design Information'!$C$18</definedName>
    <definedName name="iloutrms">'Design Information'!$C$67</definedName>
    <definedName name="imp">'Design Information'!$C$39</definedName>
    <definedName name="ims">'Design Information'!$C$31</definedName>
    <definedName name="ipp">'Design Information'!$C$38</definedName>
    <definedName name="iprms">'Design Information'!$C$43</definedName>
    <definedName name="iprms1">'Design Information'!$C$41</definedName>
    <definedName name="iprms2">'Design Information'!$C$42</definedName>
    <definedName name="ips">'Design Information'!$C$30</definedName>
    <definedName name="isrms">'Design Information'!$C$36</definedName>
    <definedName name="isrms1">'Design Information'!$C$33</definedName>
    <definedName name="isrms2">'Design Information'!$C$34</definedName>
    <definedName name="isrms3">'Design Information'!$C$35</definedName>
    <definedName name="LAVG">'[1]Design Information'!$C$29</definedName>
    <definedName name="llk">'Design Information'!$C$47</definedName>
    <definedName name="lmag">'Design Information'!$C$29</definedName>
    <definedName name="lmag1">'Design Information'!$C$29</definedName>
    <definedName name="lmag2">'Design Information'!$C$44</definedName>
    <definedName name="lout">'Design Information'!$C$68</definedName>
    <definedName name="ls">'Design Information'!$C$61</definedName>
    <definedName name="n1divd1">'Design Information'!$C$134</definedName>
    <definedName name="NCT">'[1]Design Information'!$C$40</definedName>
    <definedName name="pbudget">'Design Information'!$C$22</definedName>
    <definedName name="pout">'Design Information'!$D$16</definedName>
    <definedName name="QAg">'Design Information'!$C$54</definedName>
    <definedName name="qeg">'Design Information'!$C$86</definedName>
    <definedName name="rdsonqa">'Design Information'!$C$52</definedName>
    <definedName name="rdsonqe">'Design Information'!$C$87</definedName>
    <definedName name="rf">'Design Information'!$C$141</definedName>
    <definedName name="RII">'Design Information'!$C$128</definedName>
    <definedName name="rload">'Design Information'!$C$131</definedName>
    <definedName name="RS">'Design Information'!$C$115</definedName>
    <definedName name="RZC">'[1]Design Information'!$C$83</definedName>
    <definedName name="sta">'Standard R and C Look Up Table'!$L$6</definedName>
    <definedName name="stb">'Standard R and C Look Up Table'!$L$19</definedName>
    <definedName name="std">'Design Information'!#REF!</definedName>
    <definedName name="tabset">'Design Information'!$C$182</definedName>
    <definedName name="tafset">'Design Information'!$C$200</definedName>
    <definedName name="tcdset">'Design Information'!$C$194</definedName>
    <definedName name="tdelay">'Design Information'!$C$100</definedName>
    <definedName name="temp">#REF!</definedName>
    <definedName name="thu">'Design Information'!$C$73</definedName>
    <definedName name="tr">'Design Information'!$C$95</definedName>
    <definedName name="vadel">'Design Information'!$C$188</definedName>
    <definedName name="vdsqe">'Design Information'!$C$85</definedName>
    <definedName name="vg">'Design Information'!$C$51</definedName>
    <definedName name="vin">'Design Information'!$C$13</definedName>
    <definedName name="vinerror">'Design Information'!#REF!</definedName>
    <definedName name="VINMAX">'Design Information'!$D$13</definedName>
    <definedName name="VINMIAX">'Design Information'!$D$13</definedName>
    <definedName name="VINMIN">'Design Information'!$B$13</definedName>
    <definedName name="VOUT">'Design Information'!$C$14</definedName>
    <definedName name="voutmin">'Design Information'!$B$14</definedName>
    <definedName name="vrdson">'Design Information'!$C$23</definedName>
    <definedName name="Vslope1">'Design Information'!$C$221</definedName>
    <definedName name="Vslope2">'Design Information'!$C$222</definedName>
    <definedName name="VTRAN">'Design Information'!$D$15</definedName>
  </definedNames>
  <calcPr calcId="124519"/>
</workbook>
</file>

<file path=xl/calcChain.xml><?xml version="1.0" encoding="utf-8"?>
<calcChain xmlns="http://schemas.openxmlformats.org/spreadsheetml/2006/main">
  <c r="C25" i="1"/>
  <c r="C27"/>
  <c r="D27" s="1"/>
  <c r="C85"/>
  <c r="C90" s="1"/>
  <c r="C74"/>
  <c r="C28"/>
  <c r="C112" s="1"/>
  <c r="C113" s="1"/>
  <c r="C114" s="1"/>
  <c r="C221"/>
  <c r="C206"/>
  <c r="C207" s="1"/>
  <c r="C208" s="1"/>
  <c r="C202"/>
  <c r="C203" s="1"/>
  <c r="C204" s="1"/>
  <c r="C184"/>
  <c r="C185" s="1"/>
  <c r="C186" s="1"/>
  <c r="C56"/>
  <c r="C99" s="1"/>
  <c r="C100" s="1"/>
  <c r="C188"/>
  <c r="C195" s="1"/>
  <c r="C196" s="1"/>
  <c r="F18"/>
  <c r="F13"/>
  <c r="C22"/>
  <c r="C81"/>
  <c r="C95"/>
  <c r="F17"/>
  <c r="E121"/>
  <c r="E120"/>
  <c r="C199"/>
  <c r="F14"/>
  <c r="C101"/>
  <c r="E104"/>
  <c r="C4" i="3"/>
  <c r="C216" i="1"/>
  <c r="C217" s="1"/>
  <c r="C131"/>
  <c r="C80"/>
  <c r="C129"/>
  <c r="E3" i="6" s="1"/>
  <c r="I3"/>
  <c r="J3"/>
  <c r="I2"/>
  <c r="J2"/>
  <c r="R2"/>
  <c r="C130" i="1"/>
  <c r="A2" i="6"/>
  <c r="A3"/>
  <c r="A4"/>
  <c r="C7" i="3"/>
  <c r="C212" i="1"/>
  <c r="C213" s="1"/>
  <c r="C175"/>
  <c r="C177" s="1"/>
  <c r="C178"/>
  <c r="L6" i="3"/>
  <c r="K3" s="1"/>
  <c r="L19"/>
  <c r="C5"/>
  <c r="C8"/>
  <c r="C126" i="1"/>
  <c r="C127" s="1"/>
  <c r="C122"/>
  <c r="C123"/>
  <c r="C118"/>
  <c r="C6" i="3"/>
  <c r="C73" i="1"/>
  <c r="C75" s="1"/>
  <c r="B4" i="6"/>
  <c r="J4" s="1"/>
  <c r="A5"/>
  <c r="B5"/>
  <c r="I5" s="1"/>
  <c r="A6"/>
  <c r="I4"/>
  <c r="B6"/>
  <c r="J6" s="1"/>
  <c r="A7"/>
  <c r="B7"/>
  <c r="I7" s="1"/>
  <c r="A8"/>
  <c r="I6"/>
  <c r="B8"/>
  <c r="J8" s="1"/>
  <c r="A9"/>
  <c r="B9"/>
  <c r="I9" s="1"/>
  <c r="A10"/>
  <c r="B10"/>
  <c r="I10" s="1"/>
  <c r="A11"/>
  <c r="B11"/>
  <c r="I11" s="1"/>
  <c r="A12"/>
  <c r="E10"/>
  <c r="B12"/>
  <c r="E12" s="1"/>
  <c r="A13"/>
  <c r="B13"/>
  <c r="I13" s="1"/>
  <c r="A14"/>
  <c r="B14"/>
  <c r="J14" s="1"/>
  <c r="A15"/>
  <c r="J13"/>
  <c r="B15"/>
  <c r="E15" s="1"/>
  <c r="A16"/>
  <c r="B16"/>
  <c r="J16" s="1"/>
  <c r="A17"/>
  <c r="B17"/>
  <c r="I17" s="1"/>
  <c r="A18"/>
  <c r="E16"/>
  <c r="B18"/>
  <c r="I18" s="1"/>
  <c r="A19"/>
  <c r="B19"/>
  <c r="I19" s="1"/>
  <c r="A20"/>
  <c r="E18"/>
  <c r="B20"/>
  <c r="E20" s="1"/>
  <c r="A21"/>
  <c r="B21"/>
  <c r="I21" s="1"/>
  <c r="A22"/>
  <c r="B22"/>
  <c r="I22" s="1"/>
  <c r="A23"/>
  <c r="J21"/>
  <c r="B23"/>
  <c r="E23" s="1"/>
  <c r="A24"/>
  <c r="B24"/>
  <c r="I24" s="1"/>
  <c r="A25"/>
  <c r="J23"/>
  <c r="B25"/>
  <c r="I25" s="1"/>
  <c r="A26"/>
  <c r="B26"/>
  <c r="J26" s="1"/>
  <c r="A27"/>
  <c r="B27"/>
  <c r="I27" s="1"/>
  <c r="A28"/>
  <c r="B28"/>
  <c r="I28" s="1"/>
  <c r="A29"/>
  <c r="B29"/>
  <c r="E29" s="1"/>
  <c r="A30"/>
  <c r="B30"/>
  <c r="I30" s="1"/>
  <c r="A31"/>
  <c r="B31"/>
  <c r="I31" s="1"/>
  <c r="A32"/>
  <c r="B32"/>
  <c r="I32" s="1"/>
  <c r="A33"/>
  <c r="B33"/>
  <c r="I33" s="1"/>
  <c r="A34"/>
  <c r="E32"/>
  <c r="B34"/>
  <c r="I34" s="1"/>
  <c r="A35"/>
  <c r="B35"/>
  <c r="I35" s="1"/>
  <c r="A36"/>
  <c r="B36"/>
  <c r="I36" s="1"/>
  <c r="A37"/>
  <c r="E35"/>
  <c r="B37"/>
  <c r="E37" s="1"/>
  <c r="A38"/>
  <c r="B38"/>
  <c r="I38" s="1"/>
  <c r="A39"/>
  <c r="B39"/>
  <c r="I39" s="1"/>
  <c r="A40"/>
  <c r="B40"/>
  <c r="J40" s="1"/>
  <c r="A41"/>
  <c r="B41"/>
  <c r="E41" s="1"/>
  <c r="A42"/>
  <c r="E40"/>
  <c r="B42"/>
  <c r="I42" s="1"/>
  <c r="A43"/>
  <c r="B43"/>
  <c r="I43" s="1"/>
  <c r="A44"/>
  <c r="J42"/>
  <c r="B44"/>
  <c r="I44" s="1"/>
  <c r="A45"/>
  <c r="B45"/>
  <c r="E45" s="1"/>
  <c r="A46"/>
  <c r="J44"/>
  <c r="B46"/>
  <c r="E46" s="1"/>
  <c r="A47"/>
  <c r="B47"/>
  <c r="I47" s="1"/>
  <c r="A48"/>
  <c r="B48"/>
  <c r="I48" s="1"/>
  <c r="A49"/>
  <c r="E47"/>
  <c r="B49"/>
  <c r="I49" s="1"/>
  <c r="A50"/>
  <c r="B50"/>
  <c r="I50" s="1"/>
  <c r="A51"/>
  <c r="B51"/>
  <c r="E51" s="1"/>
  <c r="A52"/>
  <c r="B52"/>
  <c r="I52" s="1"/>
  <c r="A53"/>
  <c r="J51"/>
  <c r="B53"/>
  <c r="E53" s="1"/>
  <c r="A54"/>
  <c r="B54"/>
  <c r="I54" s="1"/>
  <c r="A55"/>
  <c r="B55"/>
  <c r="I55" s="1"/>
  <c r="A56"/>
  <c r="E54"/>
  <c r="B56"/>
  <c r="I56" s="1"/>
  <c r="A57"/>
  <c r="B57"/>
  <c r="I57" s="1"/>
  <c r="A58"/>
  <c r="B58"/>
  <c r="I58" s="1"/>
  <c r="A59"/>
  <c r="J57"/>
  <c r="B59"/>
  <c r="E59" s="1"/>
  <c r="A60"/>
  <c r="B60"/>
  <c r="I60" s="1"/>
  <c r="A61"/>
  <c r="J59"/>
  <c r="B61"/>
  <c r="E61" s="1"/>
  <c r="A62"/>
  <c r="B62"/>
  <c r="J62" s="1"/>
  <c r="A63"/>
  <c r="B63"/>
  <c r="I63" s="1"/>
  <c r="A64"/>
  <c r="E62"/>
  <c r="B64"/>
  <c r="I64" s="1"/>
  <c r="A65"/>
  <c r="B65"/>
  <c r="I65" s="1"/>
  <c r="A66"/>
  <c r="J64"/>
  <c r="B66"/>
  <c r="I66" s="1"/>
  <c r="A67"/>
  <c r="B67"/>
  <c r="E67" s="1"/>
  <c r="A68"/>
  <c r="B68"/>
  <c r="I68" s="1"/>
  <c r="A69"/>
  <c r="J67"/>
  <c r="B69"/>
  <c r="E69" s="1"/>
  <c r="A70"/>
  <c r="B70"/>
  <c r="J70" s="1"/>
  <c r="A71"/>
  <c r="B71"/>
  <c r="I71" s="1"/>
  <c r="A72"/>
  <c r="E70"/>
  <c r="B72"/>
  <c r="I72" s="1"/>
  <c r="A73"/>
  <c r="B73"/>
  <c r="I73" s="1"/>
  <c r="A74"/>
  <c r="B74"/>
  <c r="I74" s="1"/>
  <c r="A75"/>
  <c r="J73"/>
  <c r="B75"/>
  <c r="E75" s="1"/>
  <c r="A76"/>
  <c r="B76"/>
  <c r="I76" s="1"/>
  <c r="A77"/>
  <c r="B77"/>
  <c r="E77" s="1"/>
  <c r="A78"/>
  <c r="B78"/>
  <c r="I78" s="1"/>
  <c r="A79"/>
  <c r="B79"/>
  <c r="I79" s="1"/>
  <c r="A80"/>
  <c r="E78"/>
  <c r="B80"/>
  <c r="I80" s="1"/>
  <c r="A81"/>
  <c r="B81"/>
  <c r="J81" s="1"/>
  <c r="A82"/>
  <c r="J80"/>
  <c r="B82"/>
  <c r="I82" s="1"/>
  <c r="A83"/>
  <c r="B83"/>
  <c r="E83" s="1"/>
  <c r="A84"/>
  <c r="J82"/>
  <c r="B84"/>
  <c r="I84" s="1"/>
  <c r="A85"/>
  <c r="B85"/>
  <c r="J85" s="1"/>
  <c r="A86"/>
  <c r="J84"/>
  <c r="B86"/>
  <c r="E86" s="1"/>
  <c r="A87"/>
  <c r="B87"/>
  <c r="I87" s="1"/>
  <c r="A88"/>
  <c r="B88"/>
  <c r="E88" s="1"/>
  <c r="A89"/>
  <c r="J87"/>
  <c r="B89"/>
  <c r="I89" s="1"/>
  <c r="A90"/>
  <c r="B90"/>
  <c r="I90" s="1"/>
  <c r="A91"/>
  <c r="B91"/>
  <c r="J91" s="1"/>
  <c r="A92"/>
  <c r="B92"/>
  <c r="I92" s="1"/>
  <c r="A93"/>
  <c r="B93"/>
  <c r="I93" s="1"/>
  <c r="A94"/>
  <c r="B94"/>
  <c r="I94" s="1"/>
  <c r="A95"/>
  <c r="B95"/>
  <c r="I95" s="1"/>
  <c r="A96"/>
  <c r="B96"/>
  <c r="I96" s="1"/>
  <c r="A97"/>
  <c r="B97"/>
  <c r="E97" s="1"/>
  <c r="A98"/>
  <c r="E96"/>
  <c r="B98"/>
  <c r="I98" s="1"/>
  <c r="A99"/>
  <c r="B99"/>
  <c r="I99" s="1"/>
  <c r="A100"/>
  <c r="B100"/>
  <c r="D100" s="1"/>
  <c r="A101"/>
  <c r="B101"/>
  <c r="J101" s="1"/>
  <c r="C133" i="1"/>
  <c r="C35"/>
  <c r="D57" i="6"/>
  <c r="D2"/>
  <c r="J75" l="1"/>
  <c r="I70"/>
  <c r="D52"/>
  <c r="D5"/>
  <c r="D48"/>
  <c r="D65"/>
  <c r="D25"/>
  <c r="D70"/>
  <c r="F70" s="1"/>
  <c r="D45"/>
  <c r="F45" s="1"/>
  <c r="I8"/>
  <c r="K8" s="1"/>
  <c r="D71"/>
  <c r="D80"/>
  <c r="D94"/>
  <c r="D90"/>
  <c r="I62"/>
  <c r="E28"/>
  <c r="D78"/>
  <c r="F78" s="1"/>
  <c r="D42"/>
  <c r="D88"/>
  <c r="I14"/>
  <c r="J48"/>
  <c r="K48" s="1"/>
  <c r="D75"/>
  <c r="F75" s="1"/>
  <c r="D55"/>
  <c r="D85"/>
  <c r="E99"/>
  <c r="J98"/>
  <c r="K98" s="1"/>
  <c r="J88"/>
  <c r="I85"/>
  <c r="K85" s="1"/>
  <c r="I37"/>
  <c r="J36"/>
  <c r="K36" s="1"/>
  <c r="J28"/>
  <c r="K28" s="1"/>
  <c r="D86"/>
  <c r="F86" s="1"/>
  <c r="J37"/>
  <c r="D19"/>
  <c r="D43"/>
  <c r="J99"/>
  <c r="K99" s="1"/>
  <c r="I97"/>
  <c r="J71"/>
  <c r="K71" s="1"/>
  <c r="J47"/>
  <c r="K47" s="1"/>
  <c r="I40"/>
  <c r="K40" s="1"/>
  <c r="E90"/>
  <c r="J55"/>
  <c r="K55" s="1"/>
  <c r="J45"/>
  <c r="J35"/>
  <c r="K35" s="1"/>
  <c r="I16"/>
  <c r="K16" s="1"/>
  <c r="E8"/>
  <c r="E6"/>
  <c r="I100"/>
  <c r="E98"/>
  <c r="J97"/>
  <c r="E89"/>
  <c r="E85"/>
  <c r="J54"/>
  <c r="K54" s="1"/>
  <c r="R45"/>
  <c r="J29"/>
  <c r="E14"/>
  <c r="J7"/>
  <c r="K7" s="1"/>
  <c r="J5"/>
  <c r="K5" s="1"/>
  <c r="I26"/>
  <c r="K26" s="1"/>
  <c r="J90"/>
  <c r="K90" s="1"/>
  <c r="I88"/>
  <c r="I86"/>
  <c r="J78"/>
  <c r="K78" s="1"/>
  <c r="J72"/>
  <c r="K72" s="1"/>
  <c r="J65"/>
  <c r="K65" s="1"/>
  <c r="I45"/>
  <c r="J41"/>
  <c r="J39"/>
  <c r="K39" s="1"/>
  <c r="E30"/>
  <c r="E24"/>
  <c r="E22"/>
  <c r="J15"/>
  <c r="J93"/>
  <c r="K93" s="1"/>
  <c r="J38"/>
  <c r="K38" s="1"/>
  <c r="J30"/>
  <c r="K30" s="1"/>
  <c r="J24"/>
  <c r="K24" s="1"/>
  <c r="J22"/>
  <c r="K22" s="1"/>
  <c r="J63"/>
  <c r="K63" s="1"/>
  <c r="J56"/>
  <c r="K56" s="1"/>
  <c r="J49"/>
  <c r="K49" s="1"/>
  <c r="E7"/>
  <c r="C189" i="1"/>
  <c r="C190" s="1"/>
  <c r="I83" i="6"/>
  <c r="J77"/>
  <c r="J76"/>
  <c r="K76" s="1"/>
  <c r="J69"/>
  <c r="J68"/>
  <c r="K68" s="1"/>
  <c r="J61"/>
  <c r="J60"/>
  <c r="K60" s="1"/>
  <c r="J53"/>
  <c r="J52"/>
  <c r="K52" s="1"/>
  <c r="J43"/>
  <c r="K43" s="1"/>
  <c r="J34"/>
  <c r="K34" s="1"/>
  <c r="J33"/>
  <c r="K33" s="1"/>
  <c r="I20"/>
  <c r="J19"/>
  <c r="K19" s="1"/>
  <c r="I12"/>
  <c r="J11"/>
  <c r="K11" s="1"/>
  <c r="E100"/>
  <c r="J95"/>
  <c r="K95" s="1"/>
  <c r="F88"/>
  <c r="J100"/>
  <c r="J89"/>
  <c r="K89" s="1"/>
  <c r="K87"/>
  <c r="K84"/>
  <c r="E81"/>
  <c r="E79"/>
  <c r="I77"/>
  <c r="I75"/>
  <c r="K75" s="1"/>
  <c r="J74"/>
  <c r="K74" s="1"/>
  <c r="E73"/>
  <c r="E71"/>
  <c r="F71" s="1"/>
  <c r="I69"/>
  <c r="I67"/>
  <c r="K67" s="1"/>
  <c r="J66"/>
  <c r="K66" s="1"/>
  <c r="E65"/>
  <c r="E63"/>
  <c r="I61"/>
  <c r="I59"/>
  <c r="K59" s="1"/>
  <c r="J58"/>
  <c r="K58" s="1"/>
  <c r="E57"/>
  <c r="F57" s="1"/>
  <c r="E55"/>
  <c r="I53"/>
  <c r="I51"/>
  <c r="K51" s="1"/>
  <c r="J50"/>
  <c r="K50" s="1"/>
  <c r="E49"/>
  <c r="I41"/>
  <c r="E39"/>
  <c r="J32"/>
  <c r="K32" s="1"/>
  <c r="J31"/>
  <c r="K31" s="1"/>
  <c r="I29"/>
  <c r="J25"/>
  <c r="K25" s="1"/>
  <c r="I23"/>
  <c r="K23" s="1"/>
  <c r="K21"/>
  <c r="J18"/>
  <c r="K18" s="1"/>
  <c r="J17"/>
  <c r="K17" s="1"/>
  <c r="I15"/>
  <c r="K13"/>
  <c r="J10"/>
  <c r="K10" s="1"/>
  <c r="J9"/>
  <c r="K9" s="1"/>
  <c r="C135" i="1"/>
  <c r="D77" i="6"/>
  <c r="F77" s="1"/>
  <c r="J79"/>
  <c r="K79" s="1"/>
  <c r="J86"/>
  <c r="J83"/>
  <c r="E43"/>
  <c r="F43" s="1"/>
  <c r="G43" s="1"/>
  <c r="E34"/>
  <c r="J27"/>
  <c r="K27" s="1"/>
  <c r="J20"/>
  <c r="J12"/>
  <c r="C176" i="1"/>
  <c r="D29" i="6"/>
  <c r="F29" s="1"/>
  <c r="D99"/>
  <c r="D20"/>
  <c r="F20" s="1"/>
  <c r="D64"/>
  <c r="D32"/>
  <c r="F32" s="1"/>
  <c r="D23"/>
  <c r="F23" s="1"/>
  <c r="D33"/>
  <c r="D44"/>
  <c r="D16"/>
  <c r="F16" s="1"/>
  <c r="C18"/>
  <c r="D54"/>
  <c r="F54" s="1"/>
  <c r="D62"/>
  <c r="F62" s="1"/>
  <c r="D50"/>
  <c r="D96"/>
  <c r="F96" s="1"/>
  <c r="D24"/>
  <c r="D76"/>
  <c r="D53"/>
  <c r="F53" s="1"/>
  <c r="D4"/>
  <c r="D47"/>
  <c r="F47" s="1"/>
  <c r="D36"/>
  <c r="D93"/>
  <c r="D40"/>
  <c r="F40" s="1"/>
  <c r="D39"/>
  <c r="D67"/>
  <c r="F67" s="1"/>
  <c r="D38"/>
  <c r="C67" i="1"/>
  <c r="C70" s="1"/>
  <c r="C58" i="6"/>
  <c r="C68"/>
  <c r="C95"/>
  <c r="C61"/>
  <c r="C35"/>
  <c r="C51"/>
  <c r="C5"/>
  <c r="C65"/>
  <c r="C17"/>
  <c r="C63"/>
  <c r="C69"/>
  <c r="C34"/>
  <c r="C64"/>
  <c r="C97"/>
  <c r="C73"/>
  <c r="D11"/>
  <c r="C22"/>
  <c r="C62"/>
  <c r="G62" s="1"/>
  <c r="H62" s="1"/>
  <c r="D18"/>
  <c r="F18" s="1"/>
  <c r="D9"/>
  <c r="F9" s="1"/>
  <c r="D3"/>
  <c r="D7"/>
  <c r="D27"/>
  <c r="C77"/>
  <c r="C134" i="1"/>
  <c r="C57" i="6"/>
  <c r="D41"/>
  <c r="F41" s="1"/>
  <c r="D69"/>
  <c r="F69" s="1"/>
  <c r="G69" s="1"/>
  <c r="H69" s="1"/>
  <c r="C31" i="1"/>
  <c r="D98" i="6"/>
  <c r="C101"/>
  <c r="C4"/>
  <c r="C39"/>
  <c r="C7"/>
  <c r="C19"/>
  <c r="D49"/>
  <c r="C76" i="1"/>
  <c r="C82" s="1"/>
  <c r="D56" i="6"/>
  <c r="C30" i="1"/>
  <c r="D28" i="6"/>
  <c r="C14"/>
  <c r="D6"/>
  <c r="D34"/>
  <c r="C76"/>
  <c r="C26"/>
  <c r="C52"/>
  <c r="C15"/>
  <c r="C29"/>
  <c r="C94"/>
  <c r="C8"/>
  <c r="C25"/>
  <c r="C92"/>
  <c r="C81"/>
  <c r="C78"/>
  <c r="C23"/>
  <c r="C85"/>
  <c r="C45"/>
  <c r="C2"/>
  <c r="C48"/>
  <c r="C98"/>
  <c r="C44"/>
  <c r="C20"/>
  <c r="C28"/>
  <c r="C3"/>
  <c r="C67"/>
  <c r="C41"/>
  <c r="C36"/>
  <c r="C82"/>
  <c r="C43"/>
  <c r="C79"/>
  <c r="C74"/>
  <c r="C32"/>
  <c r="C54"/>
  <c r="C86"/>
  <c r="C90"/>
  <c r="C71"/>
  <c r="C100"/>
  <c r="C37"/>
  <c r="C70"/>
  <c r="C46"/>
  <c r="C27"/>
  <c r="C96"/>
  <c r="C80"/>
  <c r="C91"/>
  <c r="C30"/>
  <c r="C59"/>
  <c r="C132" i="1"/>
  <c r="C88" i="6"/>
  <c r="C89"/>
  <c r="C87"/>
  <c r="C33"/>
  <c r="C10"/>
  <c r="C60"/>
  <c r="C38"/>
  <c r="C24"/>
  <c r="C72"/>
  <c r="C13"/>
  <c r="C40"/>
  <c r="C6"/>
  <c r="C42"/>
  <c r="C83"/>
  <c r="C9"/>
  <c r="C56"/>
  <c r="C47"/>
  <c r="C84"/>
  <c r="C12"/>
  <c r="C228" i="1"/>
  <c r="C230" s="1"/>
  <c r="C231" s="1"/>
  <c r="C99" i="6"/>
  <c r="C55"/>
  <c r="C21"/>
  <c r="C16"/>
  <c r="C50"/>
  <c r="C31"/>
  <c r="C11"/>
  <c r="C93"/>
  <c r="C75"/>
  <c r="C49"/>
  <c r="F100"/>
  <c r="G100" s="1"/>
  <c r="H100" s="1"/>
  <c r="E94"/>
  <c r="E92"/>
  <c r="D82"/>
  <c r="J94"/>
  <c r="K94" s="1"/>
  <c r="J92"/>
  <c r="K92" s="1"/>
  <c r="I91"/>
  <c r="K91" s="1"/>
  <c r="D59"/>
  <c r="F59" s="1"/>
  <c r="D17"/>
  <c r="D92"/>
  <c r="D66"/>
  <c r="I101"/>
  <c r="K101" s="1"/>
  <c r="E91"/>
  <c r="R84"/>
  <c r="I81"/>
  <c r="K81" s="1"/>
  <c r="J46"/>
  <c r="E26"/>
  <c r="E4"/>
  <c r="E2"/>
  <c r="F2" s="1"/>
  <c r="R101"/>
  <c r="E93"/>
  <c r="E80"/>
  <c r="F80" s="1"/>
  <c r="G80" s="1"/>
  <c r="E72"/>
  <c r="E64"/>
  <c r="E56"/>
  <c r="E48"/>
  <c r="I46"/>
  <c r="E42"/>
  <c r="E31"/>
  <c r="E25"/>
  <c r="F25" s="1"/>
  <c r="G25" s="1"/>
  <c r="E17"/>
  <c r="E9"/>
  <c r="D46"/>
  <c r="F46" s="1"/>
  <c r="J96"/>
  <c r="K96" s="1"/>
  <c r="E95"/>
  <c r="E82"/>
  <c r="E74"/>
  <c r="E66"/>
  <c r="E58"/>
  <c r="E50"/>
  <c r="E44"/>
  <c r="E36"/>
  <c r="E33"/>
  <c r="R25"/>
  <c r="E19"/>
  <c r="E11"/>
  <c r="C147" i="1"/>
  <c r="D81" i="6"/>
  <c r="D87"/>
  <c r="E87"/>
  <c r="E84"/>
  <c r="E76"/>
  <c r="E68"/>
  <c r="E60"/>
  <c r="E52"/>
  <c r="F52" s="1"/>
  <c r="E38"/>
  <c r="E27"/>
  <c r="E21"/>
  <c r="E13"/>
  <c r="E5"/>
  <c r="F5" s="1"/>
  <c r="C142" i="1"/>
  <c r="F3" i="6"/>
  <c r="E101"/>
  <c r="D35"/>
  <c r="F35" s="1"/>
  <c r="G35" s="1"/>
  <c r="H35" s="1"/>
  <c r="K4"/>
  <c r="K70"/>
  <c r="K62"/>
  <c r="K44"/>
  <c r="K82"/>
  <c r="K73"/>
  <c r="K57"/>
  <c r="K42"/>
  <c r="K2"/>
  <c r="K80"/>
  <c r="K64"/>
  <c r="K14"/>
  <c r="K6"/>
  <c r="K3"/>
  <c r="G54"/>
  <c r="H54" s="1"/>
  <c r="D30"/>
  <c r="D51"/>
  <c r="F51" s="1"/>
  <c r="D61"/>
  <c r="F61" s="1"/>
  <c r="D12"/>
  <c r="F12" s="1"/>
  <c r="D72"/>
  <c r="D73"/>
  <c r="D21"/>
  <c r="D8"/>
  <c r="D14"/>
  <c r="F14" s="1"/>
  <c r="D89"/>
  <c r="D101"/>
  <c r="D83"/>
  <c r="F83" s="1"/>
  <c r="G83" s="1"/>
  <c r="H83" s="1"/>
  <c r="D97"/>
  <c r="F97" s="1"/>
  <c r="D79"/>
  <c r="D10"/>
  <c r="F10" s="1"/>
  <c r="D68"/>
  <c r="D13"/>
  <c r="D37"/>
  <c r="F37" s="1"/>
  <c r="D22"/>
  <c r="F22" s="1"/>
  <c r="D26"/>
  <c r="D58"/>
  <c r="D95"/>
  <c r="D60"/>
  <c r="D15"/>
  <c r="F15" s="1"/>
  <c r="G15" s="1"/>
  <c r="D84"/>
  <c r="D63"/>
  <c r="D91"/>
  <c r="D74"/>
  <c r="D31"/>
  <c r="C102" i="1"/>
  <c r="C193"/>
  <c r="C181"/>
  <c r="C220"/>
  <c r="C222" s="1"/>
  <c r="C223" s="1"/>
  <c r="C224" s="1"/>
  <c r="C225" s="1"/>
  <c r="C66"/>
  <c r="E68" s="1"/>
  <c r="C29"/>
  <c r="C66" i="6"/>
  <c r="C53"/>
  <c r="F72" l="1"/>
  <c r="G12"/>
  <c r="K45"/>
  <c r="G61"/>
  <c r="F48"/>
  <c r="G48" s="1"/>
  <c r="H48" s="1"/>
  <c r="G70"/>
  <c r="L70" s="1"/>
  <c r="N70" s="1"/>
  <c r="O70" s="1"/>
  <c r="F94"/>
  <c r="G77"/>
  <c r="H77" s="1"/>
  <c r="G20"/>
  <c r="H20" s="1"/>
  <c r="G78"/>
  <c r="H78" s="1"/>
  <c r="F33"/>
  <c r="F65"/>
  <c r="G65" s="1"/>
  <c r="H65" s="1"/>
  <c r="F8"/>
  <c r="G8" s="1"/>
  <c r="L8" s="1"/>
  <c r="N8" s="1"/>
  <c r="O8" s="1"/>
  <c r="F39"/>
  <c r="G39" s="1"/>
  <c r="H39" s="1"/>
  <c r="F55"/>
  <c r="F84"/>
  <c r="G84" s="1"/>
  <c r="H84" s="1"/>
  <c r="F13"/>
  <c r="G13" s="1"/>
  <c r="L13" s="1"/>
  <c r="M13" s="1"/>
  <c r="F42"/>
  <c r="G42" s="1"/>
  <c r="H42" s="1"/>
  <c r="F6"/>
  <c r="K41"/>
  <c r="K88"/>
  <c r="F90"/>
  <c r="F28"/>
  <c r="G28" s="1"/>
  <c r="L28" s="1"/>
  <c r="M28" s="1"/>
  <c r="F63"/>
  <c r="F85"/>
  <c r="G85" s="1"/>
  <c r="F98"/>
  <c r="G57"/>
  <c r="L57" s="1"/>
  <c r="N57" s="1"/>
  <c r="O57" s="1"/>
  <c r="F7"/>
  <c r="G7" s="1"/>
  <c r="H7" s="1"/>
  <c r="F92"/>
  <c r="G92" s="1"/>
  <c r="H92" s="1"/>
  <c r="K97"/>
  <c r="K37"/>
  <c r="G40"/>
  <c r="H40" s="1"/>
  <c r="G59"/>
  <c r="H59" s="1"/>
  <c r="G96"/>
  <c r="H96" s="1"/>
  <c r="G41"/>
  <c r="H41" s="1"/>
  <c r="F64"/>
  <c r="G64" s="1"/>
  <c r="H64" s="1"/>
  <c r="G23"/>
  <c r="L23" s="1"/>
  <c r="N23" s="1"/>
  <c r="O23" s="1"/>
  <c r="K15"/>
  <c r="L15" s="1"/>
  <c r="M15" s="1"/>
  <c r="K100"/>
  <c r="L100" s="1"/>
  <c r="N100" s="1"/>
  <c r="O100" s="1"/>
  <c r="F30"/>
  <c r="G30" s="1"/>
  <c r="L30" s="1"/>
  <c r="N30" s="1"/>
  <c r="O30" s="1"/>
  <c r="F19"/>
  <c r="G19" s="1"/>
  <c r="L19" s="1"/>
  <c r="F99"/>
  <c r="G99" s="1"/>
  <c r="L99" s="1"/>
  <c r="F31"/>
  <c r="G31" s="1"/>
  <c r="H31" s="1"/>
  <c r="F58"/>
  <c r="G58" s="1"/>
  <c r="L58" s="1"/>
  <c r="N58" s="1"/>
  <c r="O58" s="1"/>
  <c r="G90"/>
  <c r="L90" s="1"/>
  <c r="M90" s="1"/>
  <c r="F95"/>
  <c r="G95" s="1"/>
  <c r="H95" s="1"/>
  <c r="F89"/>
  <c r="G89" s="1"/>
  <c r="L89" s="1"/>
  <c r="K29"/>
  <c r="F21"/>
  <c r="G21" s="1"/>
  <c r="H21" s="1"/>
  <c r="F87"/>
  <c r="G87" s="1"/>
  <c r="L87" s="1"/>
  <c r="N87" s="1"/>
  <c r="O87" s="1"/>
  <c r="K61"/>
  <c r="F81"/>
  <c r="G81" s="1"/>
  <c r="H81" s="1"/>
  <c r="F34"/>
  <c r="G34" s="1"/>
  <c r="L34" s="1"/>
  <c r="N34" s="1"/>
  <c r="O34" s="1"/>
  <c r="F38"/>
  <c r="G38" s="1"/>
  <c r="L38" s="1"/>
  <c r="N38" s="1"/>
  <c r="O38" s="1"/>
  <c r="F49"/>
  <c r="G49" s="1"/>
  <c r="L49" s="1"/>
  <c r="M49" s="1"/>
  <c r="K77"/>
  <c r="F24"/>
  <c r="G24" s="1"/>
  <c r="K86"/>
  <c r="K53"/>
  <c r="K20"/>
  <c r="G98"/>
  <c r="L98" s="1"/>
  <c r="N98" s="1"/>
  <c r="O98" s="1"/>
  <c r="G55"/>
  <c r="H55" s="1"/>
  <c r="G97"/>
  <c r="H97" s="1"/>
  <c r="G51"/>
  <c r="L51" s="1"/>
  <c r="M51" s="1"/>
  <c r="G52"/>
  <c r="L52" s="1"/>
  <c r="N52" s="1"/>
  <c r="O52" s="1"/>
  <c r="G10"/>
  <c r="H10" s="1"/>
  <c r="G71"/>
  <c r="H71" s="1"/>
  <c r="F93"/>
  <c r="G93" s="1"/>
  <c r="L93" s="1"/>
  <c r="N93" s="1"/>
  <c r="O93" s="1"/>
  <c r="F76"/>
  <c r="G76" s="1"/>
  <c r="L76" s="1"/>
  <c r="F44"/>
  <c r="G44" s="1"/>
  <c r="H44" s="1"/>
  <c r="G88"/>
  <c r="H88" s="1"/>
  <c r="F36"/>
  <c r="G36" s="1"/>
  <c r="L36" s="1"/>
  <c r="M36" s="1"/>
  <c r="F56"/>
  <c r="G56" s="1"/>
  <c r="H56" s="1"/>
  <c r="G9"/>
  <c r="L9" s="1"/>
  <c r="M9" s="1"/>
  <c r="K83"/>
  <c r="L83" s="1"/>
  <c r="F79"/>
  <c r="G79" s="1"/>
  <c r="F73"/>
  <c r="G73" s="1"/>
  <c r="F91"/>
  <c r="G91" s="1"/>
  <c r="H91" s="1"/>
  <c r="F66"/>
  <c r="G66" s="1"/>
  <c r="L66" s="1"/>
  <c r="M66" s="1"/>
  <c r="G32"/>
  <c r="L32" s="1"/>
  <c r="N32" s="1"/>
  <c r="O32" s="1"/>
  <c r="C136" i="1"/>
  <c r="C137" s="1"/>
  <c r="C138" s="1"/>
  <c r="C139" s="1"/>
  <c r="C140" s="1"/>
  <c r="K69" i="6"/>
  <c r="L69" s="1"/>
  <c r="K12"/>
  <c r="L12" s="1"/>
  <c r="F74"/>
  <c r="G74" s="1"/>
  <c r="H74" s="1"/>
  <c r="F26"/>
  <c r="G26" s="1"/>
  <c r="L26" s="1"/>
  <c r="N26" s="1"/>
  <c r="O26" s="1"/>
  <c r="F68"/>
  <c r="G68" s="1"/>
  <c r="L68" s="1"/>
  <c r="M68" s="1"/>
  <c r="F50"/>
  <c r="G50" s="1"/>
  <c r="H50" s="1"/>
  <c r="G47"/>
  <c r="H47" s="1"/>
  <c r="G22"/>
  <c r="H22" s="1"/>
  <c r="G18"/>
  <c r="H18" s="1"/>
  <c r="G72"/>
  <c r="H72" s="1"/>
  <c r="F4"/>
  <c r="G4" s="1"/>
  <c r="H4" s="1"/>
  <c r="G16"/>
  <c r="H16" s="1"/>
  <c r="G29"/>
  <c r="G3"/>
  <c r="H3" s="1"/>
  <c r="G45"/>
  <c r="L45" s="1"/>
  <c r="M45" s="1"/>
  <c r="G94"/>
  <c r="H94" s="1"/>
  <c r="G53"/>
  <c r="H53" s="1"/>
  <c r="F27"/>
  <c r="G27" s="1"/>
  <c r="H27" s="1"/>
  <c r="G37"/>
  <c r="G5"/>
  <c r="H5" s="1"/>
  <c r="F11"/>
  <c r="G11" s="1"/>
  <c r="H11" s="1"/>
  <c r="G33"/>
  <c r="G86"/>
  <c r="G46"/>
  <c r="H46" s="1"/>
  <c r="G14"/>
  <c r="L14" s="1"/>
  <c r="H12"/>
  <c r="L43"/>
  <c r="N43" s="1"/>
  <c r="O43" s="1"/>
  <c r="H43"/>
  <c r="H57"/>
  <c r="G75"/>
  <c r="L75" s="1"/>
  <c r="G63"/>
  <c r="L63" s="1"/>
  <c r="N63" s="1"/>
  <c r="O63" s="1"/>
  <c r="G67"/>
  <c r="L67" s="1"/>
  <c r="M67" s="1"/>
  <c r="G6"/>
  <c r="H6" s="1"/>
  <c r="C32" i="1"/>
  <c r="C34" s="1"/>
  <c r="C33"/>
  <c r="G2" i="6"/>
  <c r="L2" s="1"/>
  <c r="L54"/>
  <c r="N54" s="1"/>
  <c r="O54" s="1"/>
  <c r="H61"/>
  <c r="H80"/>
  <c r="L80"/>
  <c r="M80" s="1"/>
  <c r="F60"/>
  <c r="G60" s="1"/>
  <c r="F101"/>
  <c r="G101" s="1"/>
  <c r="L101" s="1"/>
  <c r="N101" s="1"/>
  <c r="O101" s="1"/>
  <c r="K46"/>
  <c r="F82"/>
  <c r="G82" s="1"/>
  <c r="L82" s="1"/>
  <c r="N82" s="1"/>
  <c r="O82" s="1"/>
  <c r="C144" i="1"/>
  <c r="C143" s="1"/>
  <c r="C145"/>
  <c r="C149"/>
  <c r="C150"/>
  <c r="F17" i="6"/>
  <c r="G17" s="1"/>
  <c r="H15"/>
  <c r="L35"/>
  <c r="N35" s="1"/>
  <c r="O35" s="1"/>
  <c r="L62"/>
  <c r="N62" s="1"/>
  <c r="O62" s="1"/>
  <c r="C103" i="1"/>
  <c r="C104" s="1"/>
  <c r="C117"/>
  <c r="C37"/>
  <c r="E44"/>
  <c r="H25" i="6"/>
  <c r="L25"/>
  <c r="H87" l="1"/>
  <c r="L20"/>
  <c r="M20" s="1"/>
  <c r="H70"/>
  <c r="C148" i="1"/>
  <c r="L61" i="6"/>
  <c r="N61" s="1"/>
  <c r="O61" s="1"/>
  <c r="L40"/>
  <c r="M40" s="1"/>
  <c r="H8"/>
  <c r="L95"/>
  <c r="N95" s="1"/>
  <c r="O95" s="1"/>
  <c r="L42"/>
  <c r="N42" s="1"/>
  <c r="O42" s="1"/>
  <c r="H90"/>
  <c r="L78"/>
  <c r="M78" s="1"/>
  <c r="L77"/>
  <c r="N77" s="1"/>
  <c r="O77" s="1"/>
  <c r="L55"/>
  <c r="N55" s="1"/>
  <c r="O55" s="1"/>
  <c r="H30"/>
  <c r="L85"/>
  <c r="M85" s="1"/>
  <c r="H85"/>
  <c r="H32"/>
  <c r="L96"/>
  <c r="N96" s="1"/>
  <c r="O96" s="1"/>
  <c r="L39"/>
  <c r="N39" s="1"/>
  <c r="O39" s="1"/>
  <c r="L10"/>
  <c r="N10" s="1"/>
  <c r="O10" s="1"/>
  <c r="L41"/>
  <c r="M41" s="1"/>
  <c r="L37"/>
  <c r="M37" s="1"/>
  <c r="H38"/>
  <c r="L48"/>
  <c r="M48" s="1"/>
  <c r="L3"/>
  <c r="N3" s="1"/>
  <c r="O3" s="1"/>
  <c r="H23"/>
  <c r="H49"/>
  <c r="H51"/>
  <c r="L59"/>
  <c r="N59" s="1"/>
  <c r="O59" s="1"/>
  <c r="L29"/>
  <c r="N29" s="1"/>
  <c r="O29" s="1"/>
  <c r="L64"/>
  <c r="M64" s="1"/>
  <c r="L31"/>
  <c r="M31" s="1"/>
  <c r="H24"/>
  <c r="L24"/>
  <c r="M24" s="1"/>
  <c r="H99"/>
  <c r="L81"/>
  <c r="M81" s="1"/>
  <c r="L86"/>
  <c r="N86" s="1"/>
  <c r="O86" s="1"/>
  <c r="H34"/>
  <c r="H45"/>
  <c r="N83"/>
  <c r="O83" s="1"/>
  <c r="M83"/>
  <c r="N49"/>
  <c r="O49" s="1"/>
  <c r="N45"/>
  <c r="O45" s="1"/>
  <c r="N90"/>
  <c r="O90" s="1"/>
  <c r="N51"/>
  <c r="O51" s="1"/>
  <c r="N9"/>
  <c r="O9" s="1"/>
  <c r="M8"/>
  <c r="M34"/>
  <c r="M87"/>
  <c r="M57"/>
  <c r="H98"/>
  <c r="L11"/>
  <c r="N11" s="1"/>
  <c r="O11" s="1"/>
  <c r="H52"/>
  <c r="M99"/>
  <c r="N99"/>
  <c r="O99" s="1"/>
  <c r="N28"/>
  <c r="O28" s="1"/>
  <c r="L92"/>
  <c r="M92" s="1"/>
  <c r="L97"/>
  <c r="N97" s="1"/>
  <c r="O97" s="1"/>
  <c r="L88"/>
  <c r="M88" s="1"/>
  <c r="L7"/>
  <c r="N7" s="1"/>
  <c r="O7" s="1"/>
  <c r="L71"/>
  <c r="N71" s="1"/>
  <c r="O71" s="1"/>
  <c r="H79"/>
  <c r="L79"/>
  <c r="M79" s="1"/>
  <c r="L18"/>
  <c r="M18" s="1"/>
  <c r="L21"/>
  <c r="N21" s="1"/>
  <c r="O21" s="1"/>
  <c r="H36"/>
  <c r="L65"/>
  <c r="M52"/>
  <c r="L50"/>
  <c r="N50" s="1"/>
  <c r="O50" s="1"/>
  <c r="L53"/>
  <c r="M53" s="1"/>
  <c r="H76"/>
  <c r="L73"/>
  <c r="H73"/>
  <c r="H2"/>
  <c r="L16"/>
  <c r="M16" s="1"/>
  <c r="M26"/>
  <c r="L72"/>
  <c r="M72" s="1"/>
  <c r="H26"/>
  <c r="M70"/>
  <c r="L5"/>
  <c r="N5" s="1"/>
  <c r="O5" s="1"/>
  <c r="L91"/>
  <c r="M91" s="1"/>
  <c r="N68"/>
  <c r="O68" s="1"/>
  <c r="L22"/>
  <c r="M22" s="1"/>
  <c r="L84"/>
  <c r="M84" s="1"/>
  <c r="M12"/>
  <c r="N12"/>
  <c r="O12" s="1"/>
  <c r="N69"/>
  <c r="O69" s="1"/>
  <c r="M69"/>
  <c r="L4"/>
  <c r="M4" s="1"/>
  <c r="L94"/>
  <c r="N94" s="1"/>
  <c r="O94" s="1"/>
  <c r="H68"/>
  <c r="M23"/>
  <c r="H9"/>
  <c r="M93"/>
  <c r="H93"/>
  <c r="L27"/>
  <c r="N27" s="1"/>
  <c r="O27" s="1"/>
  <c r="M29"/>
  <c r="H86"/>
  <c r="H28"/>
  <c r="L56"/>
  <c r="N56" s="1"/>
  <c r="O56" s="1"/>
  <c r="H19"/>
  <c r="L44"/>
  <c r="M44" s="1"/>
  <c r="H63"/>
  <c r="M43"/>
  <c r="H14"/>
  <c r="H37"/>
  <c r="H29"/>
  <c r="L47"/>
  <c r="M47" s="1"/>
  <c r="M54"/>
  <c r="H13"/>
  <c r="H58"/>
  <c r="M98"/>
  <c r="N13"/>
  <c r="O13" s="1"/>
  <c r="M58"/>
  <c r="H75"/>
  <c r="M75"/>
  <c r="N75"/>
  <c r="O75" s="1"/>
  <c r="L46"/>
  <c r="M46" s="1"/>
  <c r="L33"/>
  <c r="H33"/>
  <c r="N67"/>
  <c r="O67" s="1"/>
  <c r="L74"/>
  <c r="N74" s="1"/>
  <c r="O74" s="1"/>
  <c r="M32"/>
  <c r="M62"/>
  <c r="H67"/>
  <c r="N89"/>
  <c r="O89" s="1"/>
  <c r="M89"/>
  <c r="H89"/>
  <c r="C36" i="1"/>
  <c r="N80" i="6"/>
  <c r="O80" s="1"/>
  <c r="L6"/>
  <c r="N66"/>
  <c r="O66" s="1"/>
  <c r="N36"/>
  <c r="O36" s="1"/>
  <c r="N20"/>
  <c r="O20" s="1"/>
  <c r="M101"/>
  <c r="M38"/>
  <c r="M82"/>
  <c r="H82"/>
  <c r="H101"/>
  <c r="M100"/>
  <c r="L17"/>
  <c r="H17"/>
  <c r="N15"/>
  <c r="O15" s="1"/>
  <c r="M30"/>
  <c r="H66"/>
  <c r="L60"/>
  <c r="H60"/>
  <c r="M63"/>
  <c r="M96"/>
  <c r="M35"/>
  <c r="C38" i="1"/>
  <c r="C39"/>
  <c r="N14" i="6"/>
  <c r="O14" s="1"/>
  <c r="M14"/>
  <c r="N19"/>
  <c r="O19" s="1"/>
  <c r="M19"/>
  <c r="M25"/>
  <c r="N25"/>
  <c r="O25" s="1"/>
  <c r="N2"/>
  <c r="O2" s="1"/>
  <c r="M2"/>
  <c r="N76"/>
  <c r="O76" s="1"/>
  <c r="M76"/>
  <c r="M95" l="1"/>
  <c r="M61"/>
  <c r="M55"/>
  <c r="M42"/>
  <c r="N24"/>
  <c r="O24" s="1"/>
  <c r="N40"/>
  <c r="O40" s="1"/>
  <c r="N37"/>
  <c r="O37" s="1"/>
  <c r="N78"/>
  <c r="O78" s="1"/>
  <c r="M77"/>
  <c r="M39"/>
  <c r="N85"/>
  <c r="O85" s="1"/>
  <c r="M59"/>
  <c r="N41"/>
  <c r="O41" s="1"/>
  <c r="M10"/>
  <c r="M3"/>
  <c r="N48"/>
  <c r="O48" s="1"/>
  <c r="N31"/>
  <c r="O31" s="1"/>
  <c r="N81"/>
  <c r="O81" s="1"/>
  <c r="N64"/>
  <c r="O64" s="1"/>
  <c r="M86"/>
  <c r="N4"/>
  <c r="O4" s="1"/>
  <c r="N88"/>
  <c r="O88" s="1"/>
  <c r="M11"/>
  <c r="N79"/>
  <c r="O79" s="1"/>
  <c r="M21"/>
  <c r="M7"/>
  <c r="N18"/>
  <c r="O18" s="1"/>
  <c r="N92"/>
  <c r="O92" s="1"/>
  <c r="M56"/>
  <c r="M50"/>
  <c r="M71"/>
  <c r="N72"/>
  <c r="O72" s="1"/>
  <c r="N16"/>
  <c r="O16" s="1"/>
  <c r="M97"/>
  <c r="N65"/>
  <c r="O65" s="1"/>
  <c r="M65"/>
  <c r="N53"/>
  <c r="O53" s="1"/>
  <c r="N84"/>
  <c r="O84" s="1"/>
  <c r="N73"/>
  <c r="O73" s="1"/>
  <c r="M73"/>
  <c r="M5"/>
  <c r="N91"/>
  <c r="O91" s="1"/>
  <c r="N22"/>
  <c r="O22" s="1"/>
  <c r="N46"/>
  <c r="O46" s="1"/>
  <c r="M94"/>
  <c r="N47"/>
  <c r="O47" s="1"/>
  <c r="M27"/>
  <c r="N44"/>
  <c r="O44" s="1"/>
  <c r="M74"/>
  <c r="N33"/>
  <c r="O33" s="1"/>
  <c r="M33"/>
  <c r="C91" i="1"/>
  <c r="C96"/>
  <c r="N6" i="6"/>
  <c r="O6" s="1"/>
  <c r="M6"/>
  <c r="M60"/>
  <c r="N60"/>
  <c r="O60" s="1"/>
  <c r="M17"/>
  <c r="N17"/>
  <c r="O17" s="1"/>
  <c r="C40" i="1"/>
  <c r="C42" s="1"/>
  <c r="C60"/>
  <c r="E60" s="1"/>
  <c r="C41"/>
  <c r="C105" l="1"/>
  <c r="C108" s="1"/>
  <c r="C43"/>
  <c r="C116"/>
  <c r="C57" l="1"/>
  <c r="C63"/>
  <c r="C48"/>
  <c r="C49" s="1"/>
  <c r="E49" l="1"/>
  <c r="C58"/>
  <c r="E58" l="1"/>
  <c r="C64"/>
  <c r="E64" l="1"/>
  <c r="C71"/>
  <c r="E71" l="1"/>
  <c r="C83"/>
  <c r="E83" l="1"/>
  <c r="C97"/>
  <c r="E97" l="1"/>
  <c r="C109"/>
  <c r="E109" s="1"/>
</calcChain>
</file>

<file path=xl/sharedStrings.xml><?xml version="1.0" encoding="utf-8"?>
<sst xmlns="http://schemas.openxmlformats.org/spreadsheetml/2006/main" count="618" uniqueCount="340">
  <si>
    <t>This spreadsheet guides the User through the design process for a CONTINUOUS CONDUCTION MODE PFC BOOST converter using the UCC28019 controller.</t>
  </si>
  <si>
    <t>1. The Macros must be ENABLED.</t>
  </si>
  <si>
    <t>2. The Analysis ToolPak Add-In must be checked.</t>
  </si>
  <si>
    <t>• This feature can be found in the Tools Menu.</t>
  </si>
  <si>
    <t>• Select Add-Ins</t>
  </si>
  <si>
    <t>• Check the box next to Analysis ToolPak</t>
  </si>
  <si>
    <t>3. Enter the desired design parameters in the YELLOW shaded boxes</t>
  </si>
  <si>
    <t>5. Actual standard values must be entered for the spreadsheet to calculate the gain-phase plots.</t>
  </si>
  <si>
    <t>Design Specifications</t>
  </si>
  <si>
    <t>Description</t>
  </si>
  <si>
    <t xml:space="preserve">Minimum </t>
  </si>
  <si>
    <t>Maximum</t>
  </si>
  <si>
    <t xml:space="preserve">Typical </t>
  </si>
  <si>
    <t>Input Voltage</t>
  </si>
  <si>
    <t>Output Voltage</t>
  </si>
  <si>
    <t>Allowable Output Voltage
Transients (90% Load Step)</t>
  </si>
  <si>
    <t>Unit</t>
  </si>
  <si>
    <t>V</t>
  </si>
  <si>
    <t>W</t>
  </si>
  <si>
    <t xml:space="preserve"> </t>
  </si>
  <si>
    <t>kHz</t>
  </si>
  <si>
    <r>
      <t>Output Power (P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</t>
    </r>
  </si>
  <si>
    <r>
      <t>Inductor (L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 Switching Frequency</t>
    </r>
  </si>
  <si>
    <t>Full Load Efficiency</t>
  </si>
  <si>
    <r>
      <t>P</t>
    </r>
    <r>
      <rPr>
        <b/>
        <vertAlign val="subscript"/>
        <sz val="12"/>
        <rFont val="Arial"/>
        <family val="2"/>
      </rPr>
      <t>BUDGET</t>
    </r>
  </si>
  <si>
    <r>
      <t>V</t>
    </r>
    <r>
      <rPr>
        <b/>
        <vertAlign val="subscript"/>
        <sz val="12"/>
        <rFont val="Arial"/>
        <family val="2"/>
      </rPr>
      <t>RDSON</t>
    </r>
  </si>
  <si>
    <t>a1</t>
  </si>
  <si>
    <t>Variable</t>
  </si>
  <si>
    <r>
      <t>T1 Transformer Turns Ratio=N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/N</t>
    </r>
    <r>
      <rPr>
        <b/>
        <vertAlign val="subscript"/>
        <sz val="12"/>
        <rFont val="Arial"/>
        <family val="2"/>
      </rPr>
      <t>S</t>
    </r>
  </si>
  <si>
    <t>Maximum Duty Cycle Nominal</t>
  </si>
  <si>
    <t>Typical Duty Cycle</t>
  </si>
  <si>
    <r>
      <t>D</t>
    </r>
    <r>
      <rPr>
        <b/>
        <vertAlign val="subscript"/>
        <sz val="12"/>
        <rFont val="Arial"/>
        <family val="2"/>
      </rPr>
      <t>MAX</t>
    </r>
  </si>
  <si>
    <r>
      <t>D</t>
    </r>
    <r>
      <rPr>
        <b/>
        <vertAlign val="subscript"/>
        <sz val="12"/>
        <rFont val="Arial"/>
        <family val="2"/>
      </rPr>
      <t>TYP</t>
    </r>
  </si>
  <si>
    <t>Inductor Ripple Current</t>
  </si>
  <si>
    <t>A</t>
  </si>
  <si>
    <r>
      <t>L</t>
    </r>
    <r>
      <rPr>
        <b/>
        <vertAlign val="subscript"/>
        <sz val="12"/>
        <rFont val="Arial"/>
        <family val="2"/>
      </rPr>
      <t>MAG</t>
    </r>
  </si>
  <si>
    <t>mH</t>
  </si>
  <si>
    <r>
      <t>I</t>
    </r>
    <r>
      <rPr>
        <b/>
        <vertAlign val="subscript"/>
        <sz val="12"/>
        <rFont val="Arial"/>
        <family val="2"/>
      </rPr>
      <t>PS</t>
    </r>
  </si>
  <si>
    <r>
      <t>I</t>
    </r>
    <r>
      <rPr>
        <b/>
        <vertAlign val="subscript"/>
        <sz val="12"/>
        <rFont val="Arial"/>
        <family val="2"/>
      </rPr>
      <t>MS</t>
    </r>
  </si>
  <si>
    <r>
      <t>I</t>
    </r>
    <r>
      <rPr>
        <b/>
        <vertAlign val="subscript"/>
        <sz val="12"/>
        <rFont val="Arial"/>
        <family val="2"/>
      </rPr>
      <t>SRMS1</t>
    </r>
  </si>
  <si>
    <r>
      <t>I</t>
    </r>
    <r>
      <rPr>
        <b/>
        <vertAlign val="subscript"/>
        <sz val="12"/>
        <rFont val="Arial"/>
        <family val="2"/>
      </rPr>
      <t>MS2</t>
    </r>
  </si>
  <si>
    <r>
      <t>I</t>
    </r>
    <r>
      <rPr>
        <b/>
        <vertAlign val="subscript"/>
        <sz val="12"/>
        <rFont val="Arial"/>
        <family val="2"/>
      </rPr>
      <t>SRMS2</t>
    </r>
  </si>
  <si>
    <r>
      <t>I</t>
    </r>
    <r>
      <rPr>
        <b/>
        <vertAlign val="subscript"/>
        <sz val="12"/>
        <rFont val="Arial"/>
        <family val="2"/>
      </rPr>
      <t>SRMS3</t>
    </r>
  </si>
  <si>
    <r>
      <t>I</t>
    </r>
    <r>
      <rPr>
        <b/>
        <vertAlign val="subscript"/>
        <sz val="12"/>
        <rFont val="Arial"/>
        <family val="2"/>
      </rPr>
      <t>SRMS</t>
    </r>
  </si>
  <si>
    <r>
      <t>dIL</t>
    </r>
    <r>
      <rPr>
        <b/>
        <vertAlign val="subscript"/>
        <sz val="12"/>
        <rFont val="Arial"/>
        <family val="2"/>
      </rPr>
      <t>MAG</t>
    </r>
  </si>
  <si>
    <r>
      <t>I</t>
    </r>
    <r>
      <rPr>
        <b/>
        <vertAlign val="subscript"/>
        <sz val="12"/>
        <rFont val="Arial"/>
        <family val="2"/>
      </rPr>
      <t>PP</t>
    </r>
  </si>
  <si>
    <r>
      <t>I</t>
    </r>
    <r>
      <rPr>
        <b/>
        <vertAlign val="subscript"/>
        <sz val="12"/>
        <rFont val="Arial"/>
        <family val="2"/>
      </rPr>
      <t>MP</t>
    </r>
  </si>
  <si>
    <r>
      <t>I</t>
    </r>
    <r>
      <rPr>
        <b/>
        <vertAlign val="subscript"/>
        <sz val="12"/>
        <rFont val="Arial"/>
        <family val="2"/>
      </rPr>
      <t>MP2</t>
    </r>
  </si>
  <si>
    <r>
      <t>I</t>
    </r>
    <r>
      <rPr>
        <b/>
        <vertAlign val="subscript"/>
        <sz val="12"/>
        <rFont val="Arial"/>
        <family val="2"/>
      </rPr>
      <t>PRMS1</t>
    </r>
  </si>
  <si>
    <r>
      <t>I</t>
    </r>
    <r>
      <rPr>
        <b/>
        <vertAlign val="subscript"/>
        <sz val="12"/>
        <rFont val="Arial"/>
        <family val="2"/>
      </rPr>
      <t>PRMS2</t>
    </r>
  </si>
  <si>
    <r>
      <t>DCR</t>
    </r>
    <r>
      <rPr>
        <b/>
        <vertAlign val="subscript"/>
        <sz val="12"/>
        <rFont val="Arial"/>
        <family val="2"/>
      </rPr>
      <t>P</t>
    </r>
  </si>
  <si>
    <r>
      <t>I</t>
    </r>
    <r>
      <rPr>
        <b/>
        <vertAlign val="subscript"/>
        <sz val="12"/>
        <rFont val="Arial"/>
        <family val="2"/>
      </rPr>
      <t>PRMS</t>
    </r>
  </si>
  <si>
    <r>
      <t>DCR</t>
    </r>
    <r>
      <rPr>
        <b/>
        <vertAlign val="subscript"/>
        <sz val="12"/>
        <rFont val="Arial"/>
        <family val="2"/>
      </rPr>
      <t>S</t>
    </r>
  </si>
  <si>
    <r>
      <t>P</t>
    </r>
    <r>
      <rPr>
        <b/>
        <vertAlign val="subscript"/>
        <sz val="12"/>
        <rFont val="Arial"/>
        <family val="2"/>
      </rPr>
      <t>T1</t>
    </r>
  </si>
  <si>
    <t>Transformer Primary DC Resistance</t>
  </si>
  <si>
    <t>Transformer Secondary DC Resistance</t>
  </si>
  <si>
    <t>Estimated transform loss, 2X Copper Losses</t>
  </si>
  <si>
    <t>Recalculate Power Budget</t>
  </si>
  <si>
    <t>QA, QB, QC, QD FET selection:</t>
  </si>
  <si>
    <r>
      <t>R</t>
    </r>
    <r>
      <rPr>
        <b/>
        <vertAlign val="subscript"/>
        <sz val="12"/>
        <rFont val="Arial"/>
        <family val="2"/>
      </rPr>
      <t>ds(on)QA</t>
    </r>
  </si>
  <si>
    <t>FET drain to source on resistance</t>
  </si>
  <si>
    <t>FET Specified Coss</t>
  </si>
  <si>
    <t>pF</t>
  </si>
  <si>
    <r>
      <t>C</t>
    </r>
    <r>
      <rPr>
        <b/>
        <vertAlign val="subscript"/>
        <sz val="12"/>
        <rFont val="Arial"/>
        <family val="2"/>
      </rPr>
      <t>OSS_QA_SPEC</t>
    </r>
  </si>
  <si>
    <r>
      <t>V</t>
    </r>
    <r>
      <rPr>
        <b/>
        <vertAlign val="subscript"/>
        <sz val="12"/>
        <rFont val="Arial"/>
        <family val="2"/>
      </rPr>
      <t>dsQA</t>
    </r>
  </si>
  <si>
    <r>
      <t>Calculate average C</t>
    </r>
    <r>
      <rPr>
        <b/>
        <vertAlign val="subscript"/>
        <sz val="12"/>
        <rFont val="Arial"/>
        <family val="2"/>
      </rPr>
      <t xml:space="preserve">OSS </t>
    </r>
  </si>
  <si>
    <r>
      <t>C</t>
    </r>
    <r>
      <rPr>
        <b/>
        <vertAlign val="subscript"/>
        <sz val="12"/>
        <rFont val="Arial"/>
        <family val="2"/>
      </rPr>
      <t>OSS_QA_AVG</t>
    </r>
  </si>
  <si>
    <r>
      <t>P</t>
    </r>
    <r>
      <rPr>
        <b/>
        <vertAlign val="subscript"/>
        <sz val="12"/>
        <rFont val="Arial"/>
        <family val="2"/>
      </rPr>
      <t>QA</t>
    </r>
  </si>
  <si>
    <t xml:space="preserve">Calculate QA losses </t>
  </si>
  <si>
    <r>
      <t>V</t>
    </r>
    <r>
      <rPr>
        <b/>
        <vertAlign val="subscript"/>
        <sz val="12"/>
        <rFont val="Arial"/>
        <family val="2"/>
      </rPr>
      <t>g</t>
    </r>
  </si>
  <si>
    <r>
      <t>QA</t>
    </r>
    <r>
      <rPr>
        <b/>
        <vertAlign val="subscript"/>
        <sz val="12"/>
        <rFont val="Arial"/>
        <family val="2"/>
      </rPr>
      <t>g</t>
    </r>
  </si>
  <si>
    <t>nC</t>
  </si>
  <si>
    <t>Primary Magnetizing Inductance</t>
  </si>
  <si>
    <r>
      <t>L</t>
    </r>
    <r>
      <rPr>
        <b/>
        <vertAlign val="subscript"/>
        <sz val="12"/>
        <rFont val="Arial"/>
        <family val="2"/>
      </rPr>
      <t>S</t>
    </r>
  </si>
  <si>
    <t>uH</t>
  </si>
  <si>
    <r>
      <t>DCR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</si>
  <si>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DC Resistance</t>
    </r>
  </si>
  <si>
    <r>
      <t>Estimate L</t>
    </r>
    <r>
      <rPr>
        <b/>
        <vertAlign val="subscript"/>
        <sz val="12"/>
        <rFont val="Arial"/>
        <family val="2"/>
      </rPr>
      <t xml:space="preserve">S </t>
    </r>
    <r>
      <rPr>
        <b/>
        <sz val="12"/>
        <rFont val="Arial"/>
        <family val="2"/>
      </rPr>
      <t>power loss (P</t>
    </r>
    <r>
      <rPr>
        <b/>
        <vertAlign val="subscript"/>
        <sz val="12"/>
        <rFont val="Arial"/>
        <family val="2"/>
      </rPr>
      <t>LS</t>
    </r>
    <r>
      <rPr>
        <b/>
        <sz val="12"/>
        <rFont val="Arial"/>
        <family val="2"/>
      </rPr>
      <t xml:space="preserve">) </t>
    </r>
  </si>
  <si>
    <r>
      <t>P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</si>
  <si>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OUT</t>
    </r>
  </si>
  <si>
    <r>
      <t>DCR</t>
    </r>
    <r>
      <rPr>
        <b/>
        <vertAlign val="subscript"/>
        <sz val="12"/>
        <rFont val="Arial"/>
        <family val="2"/>
      </rPr>
      <t>LOUT</t>
    </r>
  </si>
  <si>
    <r>
      <t>Estimate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power loss</t>
    </r>
  </si>
  <si>
    <r>
      <t>P</t>
    </r>
    <r>
      <rPr>
        <b/>
        <vertAlign val="subscript"/>
        <sz val="12"/>
        <rFont val="Arial"/>
        <family val="2"/>
      </rPr>
      <t>LOUT</t>
    </r>
  </si>
  <si>
    <r>
      <t>Calculate 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</si>
  <si>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LOUT_RMS</t>
    </r>
  </si>
  <si>
    <t>Calculated Shim Inductance</t>
  </si>
  <si>
    <t>Calculate Output Inductance</t>
  </si>
  <si>
    <r>
      <t>t</t>
    </r>
    <r>
      <rPr>
        <b/>
        <vertAlign val="subscript"/>
        <sz val="12"/>
        <rFont val="Arial"/>
        <family val="2"/>
      </rPr>
      <t>HU</t>
    </r>
  </si>
  <si>
    <r>
      <t>Time it takes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to change 90% of its full load current</t>
    </r>
  </si>
  <si>
    <t>us</t>
  </si>
  <si>
    <r>
      <t>ESR</t>
    </r>
    <r>
      <rPr>
        <b/>
        <vertAlign val="subscript"/>
        <sz val="12"/>
        <rFont val="Arial"/>
        <family val="2"/>
      </rPr>
      <t>COUT</t>
    </r>
  </si>
  <si>
    <r>
      <t>C</t>
    </r>
    <r>
      <rPr>
        <b/>
        <vertAlign val="subscript"/>
        <sz val="12"/>
        <rFont val="Arial"/>
        <family val="2"/>
      </rPr>
      <t>OUT</t>
    </r>
  </si>
  <si>
    <t>uF</t>
  </si>
  <si>
    <t>n</t>
  </si>
  <si>
    <t>Single Capacitor Capacitance</t>
  </si>
  <si>
    <t>Single Capacitor ESR</t>
  </si>
  <si>
    <t>Total Output Capacitance</t>
  </si>
  <si>
    <r>
      <t>I</t>
    </r>
    <r>
      <rPr>
        <b/>
        <vertAlign val="subscript"/>
        <sz val="12"/>
        <rFont val="Arial"/>
        <family val="2"/>
      </rPr>
      <t>COUT_RMS</t>
    </r>
  </si>
  <si>
    <t>Output Capacitance RMS Current</t>
  </si>
  <si>
    <t>Calculate Output Capacitance Loss</t>
  </si>
  <si>
    <r>
      <t>P</t>
    </r>
    <r>
      <rPr>
        <b/>
        <vertAlign val="subscript"/>
        <sz val="12"/>
        <rFont val="Arial"/>
        <family val="2"/>
      </rPr>
      <t>COUT</t>
    </r>
  </si>
  <si>
    <r>
      <t>V</t>
    </r>
    <r>
      <rPr>
        <b/>
        <vertAlign val="subscript"/>
        <sz val="12"/>
        <rFont val="Arial"/>
        <family val="2"/>
      </rPr>
      <t>DROP</t>
    </r>
  </si>
  <si>
    <t>Minimum Input During Line Dropout</t>
  </si>
  <si>
    <r>
      <t>C</t>
    </r>
    <r>
      <rPr>
        <b/>
        <vertAlign val="subscript"/>
        <sz val="12"/>
        <rFont val="Arial"/>
        <family val="2"/>
      </rPr>
      <t>IN</t>
    </r>
  </si>
  <si>
    <t>Calculate Minimum Input Capacitance</t>
  </si>
  <si>
    <r>
      <t>High Frequency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</si>
  <si>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CINRMS</t>
    </r>
  </si>
  <si>
    <r>
      <t>ESR</t>
    </r>
    <r>
      <rPr>
        <b/>
        <vertAlign val="subscript"/>
        <sz val="12"/>
        <rFont val="Arial"/>
        <family val="2"/>
      </rPr>
      <t>CIN</t>
    </r>
  </si>
  <si>
    <r>
      <t>P</t>
    </r>
    <r>
      <rPr>
        <b/>
        <vertAlign val="subscript"/>
        <sz val="12"/>
        <rFont val="Arial"/>
        <family val="2"/>
      </rPr>
      <t>CIN</t>
    </r>
  </si>
  <si>
    <t>Select FETs QE and QF:</t>
  </si>
  <si>
    <r>
      <t>QE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</si>
  <si>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ds(on)QE</t>
    </r>
  </si>
  <si>
    <t>QE and QF Gate Charge</t>
  </si>
  <si>
    <t xml:space="preserve">Set Initial Power Budget </t>
  </si>
  <si>
    <t>Estimated FET Voltage Drop</t>
  </si>
  <si>
    <t>QA FET Gate Charge</t>
  </si>
  <si>
    <r>
      <t>Voltage Across Drain to Source Where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color indexed="8"/>
        <rFont val="Arial"/>
        <family val="2"/>
      </rPr>
      <t>was Measured, Data Sheet Parameter</t>
    </r>
  </si>
  <si>
    <r>
      <t>V</t>
    </r>
    <r>
      <rPr>
        <b/>
        <vertAlign val="subscript"/>
        <sz val="12"/>
        <rFont val="Arial"/>
        <family val="2"/>
      </rPr>
      <t>dsQE</t>
    </r>
  </si>
  <si>
    <r>
      <t>V</t>
    </r>
    <r>
      <rPr>
        <b/>
        <vertAlign val="subscript"/>
        <sz val="12"/>
        <rFont val="Arial"/>
        <family val="2"/>
      </rPr>
      <t>dsQE_SPEC</t>
    </r>
  </si>
  <si>
    <r>
      <t>Voltage Specified at C</t>
    </r>
    <r>
      <rPr>
        <b/>
        <vertAlign val="subscript"/>
        <sz val="12"/>
        <rFont val="Arial"/>
        <family val="2"/>
      </rPr>
      <t>OSS</t>
    </r>
    <r>
      <rPr>
        <b/>
        <sz val="12"/>
        <rFont val="Arial"/>
        <family val="2"/>
      </rPr>
      <t xml:space="preserve"> Specified in the Data Sheet</t>
    </r>
  </si>
  <si>
    <r>
      <t>C</t>
    </r>
    <r>
      <rPr>
        <b/>
        <vertAlign val="subscript"/>
        <sz val="12"/>
        <rFont val="Arial"/>
        <family val="2"/>
      </rPr>
      <t>OSS_SPEC</t>
    </r>
  </si>
  <si>
    <r>
      <t>Specified QE and QF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rFont val="Arial"/>
        <family val="2"/>
      </rPr>
      <t>From the Data Sheet</t>
    </r>
  </si>
  <si>
    <r>
      <t>C</t>
    </r>
    <r>
      <rPr>
        <b/>
        <vertAlign val="subscript"/>
        <sz val="12"/>
        <rFont val="Arial"/>
        <family val="2"/>
      </rPr>
      <t>OSS_QE_AVG</t>
    </r>
  </si>
  <si>
    <r>
      <t>Average QE and QF C</t>
    </r>
    <r>
      <rPr>
        <b/>
        <vertAlign val="subscript"/>
        <sz val="12"/>
        <rFont val="Arial"/>
        <family val="2"/>
      </rPr>
      <t>OSS</t>
    </r>
  </si>
  <si>
    <t>QE and QF RMS Current</t>
  </si>
  <si>
    <r>
      <t>I</t>
    </r>
    <r>
      <rPr>
        <b/>
        <vertAlign val="subscript"/>
        <sz val="12"/>
        <rFont val="Arial"/>
        <family val="2"/>
      </rPr>
      <t>QE_RMS</t>
    </r>
  </si>
  <si>
    <r>
      <t>QE</t>
    </r>
    <r>
      <rPr>
        <b/>
        <vertAlign val="subscript"/>
        <sz val="12"/>
        <rFont val="Arial"/>
        <family val="2"/>
      </rPr>
      <t>MILLER_MAX</t>
    </r>
  </si>
  <si>
    <r>
      <t>QE</t>
    </r>
    <r>
      <rPr>
        <b/>
        <vertAlign val="subscript"/>
        <sz val="12"/>
        <rFont val="Arial"/>
        <family val="2"/>
      </rPr>
      <t>MILLER_MIN</t>
    </r>
  </si>
  <si>
    <t>Maximum Gate Charge at the end of the Miller Plateau</t>
  </si>
  <si>
    <t>Peak Current Gate of QE and QF is Driven with</t>
  </si>
  <si>
    <r>
      <t>I</t>
    </r>
    <r>
      <rPr>
        <b/>
        <vertAlign val="subscript"/>
        <sz val="12"/>
        <rFont val="Arial"/>
        <family val="2"/>
      </rPr>
      <t>P</t>
    </r>
  </si>
  <si>
    <r>
      <t>t</t>
    </r>
    <r>
      <rPr>
        <b/>
        <vertAlign val="subscript"/>
        <sz val="12"/>
        <rFont val="Arial"/>
        <family val="2"/>
      </rPr>
      <t>r</t>
    </r>
    <r>
      <rPr>
        <b/>
        <sz val="12"/>
        <rFont val="Arial"/>
        <family val="2"/>
      </rPr>
      <t xml:space="preserve"> ≈ t</t>
    </r>
    <r>
      <rPr>
        <b/>
        <vertAlign val="subscript"/>
        <sz val="12"/>
        <rFont val="Arial"/>
        <family val="2"/>
      </rPr>
      <t>f</t>
    </r>
  </si>
  <si>
    <t>ns</t>
  </si>
  <si>
    <t>Estimate QE FET Losses</t>
  </si>
  <si>
    <r>
      <t>P</t>
    </r>
    <r>
      <rPr>
        <b/>
        <vertAlign val="subscript"/>
        <sz val="12"/>
        <rFont val="Arial"/>
        <family val="2"/>
      </rPr>
      <t>QE</t>
    </r>
  </si>
  <si>
    <t>Maximum Voltage Across QE and QF</t>
  </si>
  <si>
    <t>a2</t>
  </si>
  <si>
    <r>
      <t>Select CT and Enter Turns Ratio a2 = I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/I</t>
    </r>
    <r>
      <rPr>
        <b/>
        <vertAlign val="subscript"/>
        <sz val="12"/>
        <rFont val="Arial"/>
        <family val="2"/>
      </rPr>
      <t>S</t>
    </r>
  </si>
  <si>
    <t>Std. Resistors</t>
  </si>
  <si>
    <t>Capacitors</t>
  </si>
  <si>
    <t>Enter resistor value</t>
  </si>
  <si>
    <t>E6</t>
  </si>
  <si>
    <t>E96</t>
  </si>
  <si>
    <t>Cap value</t>
  </si>
  <si>
    <t>Closest E6 Value</t>
  </si>
  <si>
    <t>Closest E12 Value</t>
  </si>
  <si>
    <t>C values up to 10nF</t>
  </si>
  <si>
    <t>Closest E24 Value</t>
  </si>
  <si>
    <t>Closest E48 Value</t>
  </si>
  <si>
    <t>Closest E96 Value</t>
  </si>
  <si>
    <t>E12</t>
  </si>
  <si>
    <t>C values greater than 10nF</t>
  </si>
  <si>
    <t>E24</t>
  </si>
  <si>
    <t>E48</t>
  </si>
  <si>
    <r>
      <t>R</t>
    </r>
    <r>
      <rPr>
        <b/>
        <vertAlign val="subscript"/>
        <sz val="12"/>
        <rFont val="Arial"/>
        <family val="2"/>
      </rPr>
      <t>S</t>
    </r>
  </si>
  <si>
    <t>Calculate Current Sense Resistor</t>
  </si>
  <si>
    <t>Ω</t>
  </si>
  <si>
    <r>
      <t>I</t>
    </r>
    <r>
      <rPr>
        <b/>
        <vertAlign val="subscript"/>
        <sz val="12"/>
        <rFont val="Arial"/>
        <family val="2"/>
      </rPr>
      <t>P1</t>
    </r>
  </si>
  <si>
    <r>
      <t>Calculate nominal peak current (I</t>
    </r>
    <r>
      <rPr>
        <b/>
        <vertAlign val="subscript"/>
        <sz val="12"/>
        <rFont val="Arial"/>
        <family val="2"/>
      </rPr>
      <t>P1</t>
    </r>
    <r>
      <rPr>
        <b/>
        <sz val="12"/>
        <rFont val="Arial"/>
        <family val="2"/>
      </rPr>
      <t>) at V</t>
    </r>
    <r>
      <rPr>
        <b/>
        <vertAlign val="subscript"/>
        <sz val="12"/>
        <rFont val="Arial"/>
        <family val="2"/>
      </rPr>
      <t>INMIN</t>
    </r>
  </si>
  <si>
    <t>Select Current Sense Resistor for Your Design</t>
  </si>
  <si>
    <t>Estimate Rs Power Loss</t>
  </si>
  <si>
    <r>
      <t>P</t>
    </r>
    <r>
      <rPr>
        <b/>
        <vertAlign val="subscript"/>
        <sz val="12"/>
        <rFont val="Arial"/>
        <family val="2"/>
      </rPr>
      <t>RS</t>
    </r>
  </si>
  <si>
    <r>
      <t>V</t>
    </r>
    <r>
      <rPr>
        <b/>
        <vertAlign val="subscript"/>
        <sz val="12"/>
        <rFont val="Arial"/>
        <family val="2"/>
      </rPr>
      <t>DA</t>
    </r>
  </si>
  <si>
    <r>
      <t>Maximum Diode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Reverse Voltage</t>
    </r>
  </si>
  <si>
    <r>
      <t>t</t>
    </r>
    <r>
      <rPr>
        <b/>
        <vertAlign val="subscript"/>
        <sz val="12"/>
        <rFont val="Arial"/>
        <family val="2"/>
      </rPr>
      <t>DELAY</t>
    </r>
  </si>
  <si>
    <t>fr</t>
  </si>
  <si>
    <t>Calculate Resonant Tank Frequency</t>
  </si>
  <si>
    <t>Possible Delay That will Be Required for ZVS</t>
  </si>
  <si>
    <r>
      <t>D</t>
    </r>
    <r>
      <rPr>
        <b/>
        <vertAlign val="subscript"/>
        <sz val="12"/>
        <rFont val="Arial"/>
        <family val="2"/>
      </rPr>
      <t>CLAMP</t>
    </r>
  </si>
  <si>
    <r>
      <t>t</t>
    </r>
    <r>
      <rPr>
        <b/>
        <vertAlign val="subscript"/>
        <sz val="12"/>
        <rFont val="Arial"/>
        <family val="2"/>
      </rPr>
      <t>DELAY</t>
    </r>
    <r>
      <rPr>
        <b/>
        <sz val="12"/>
        <rFont val="Arial"/>
        <family val="2"/>
      </rPr>
      <t xml:space="preserve"> will act as a duty cycle clamp</t>
    </r>
  </si>
  <si>
    <t>Switching Cycle Period</t>
  </si>
  <si>
    <t>ts</t>
  </si>
  <si>
    <t>Shim Inductance Used</t>
  </si>
  <si>
    <t>Output Inductance Used</t>
  </si>
  <si>
    <t>Selecting Power Transformer (T1)</t>
  </si>
  <si>
    <t>Number of Output Capacitors Used</t>
  </si>
  <si>
    <t>Input Capacitance Used</t>
  </si>
  <si>
    <r>
      <t>Estimate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Losses</t>
    </r>
  </si>
  <si>
    <r>
      <t>P</t>
    </r>
    <r>
      <rPr>
        <b/>
        <vertAlign val="subscript"/>
        <sz val="12"/>
        <rFont val="Arial"/>
        <family val="2"/>
      </rPr>
      <t>DA</t>
    </r>
  </si>
  <si>
    <t>V1</t>
  </si>
  <si>
    <r>
      <t>R</t>
    </r>
    <r>
      <rPr>
        <b/>
        <vertAlign val="subscript"/>
        <sz val="12"/>
        <rFont val="Arial"/>
        <family val="2"/>
      </rPr>
      <t>B</t>
    </r>
  </si>
  <si>
    <t>Select Standard Resistor</t>
  </si>
  <si>
    <r>
      <t>R</t>
    </r>
    <r>
      <rPr>
        <b/>
        <vertAlign val="subscript"/>
        <sz val="12"/>
        <rFont val="Arial"/>
        <family val="2"/>
      </rPr>
      <t>A</t>
    </r>
  </si>
  <si>
    <t>Calculated Resistance</t>
  </si>
  <si>
    <r>
      <t>R</t>
    </r>
    <r>
      <rPr>
        <b/>
        <vertAlign val="subscript"/>
        <sz val="12"/>
        <rFont val="Arial"/>
        <family val="2"/>
      </rPr>
      <t>C</t>
    </r>
  </si>
  <si>
    <r>
      <t>R</t>
    </r>
    <r>
      <rPr>
        <b/>
        <vertAlign val="subscript"/>
        <sz val="12"/>
        <rFont val="Arial"/>
        <family val="2"/>
      </rPr>
      <t>I</t>
    </r>
  </si>
  <si>
    <r>
      <t>f</t>
    </r>
    <r>
      <rPr>
        <b/>
        <vertAlign val="subscript"/>
        <sz val="12"/>
        <rFont val="Arial"/>
        <family val="2"/>
      </rPr>
      <t>C</t>
    </r>
  </si>
  <si>
    <t>Voltage Loop Crossover Frequency</t>
  </si>
  <si>
    <r>
      <t>R</t>
    </r>
    <r>
      <rPr>
        <b/>
        <vertAlign val="subscript"/>
        <sz val="12"/>
        <rFont val="Arial"/>
        <family val="2"/>
      </rPr>
      <t>LOAD</t>
    </r>
  </si>
  <si>
    <t>a1*a2*rload/rs</t>
  </si>
  <si>
    <t>Constant</t>
  </si>
  <si>
    <t>n1/d1</t>
  </si>
  <si>
    <t>n1divd1</t>
  </si>
  <si>
    <t>1/d2</t>
  </si>
  <si>
    <t>n1/(d1*d2)</t>
  </si>
  <si>
    <t>a1*a2*rload/rs*(n1/(d1*d2))</t>
  </si>
  <si>
    <t>absolute maximum(a1*a2*rload/rs*(n1/(d1*d2)))</t>
  </si>
  <si>
    <t>n1</t>
  </si>
  <si>
    <t>|Gco(fc)|</t>
  </si>
  <si>
    <r>
      <t>R</t>
    </r>
    <r>
      <rPr>
        <b/>
        <vertAlign val="subscript"/>
        <sz val="12"/>
        <rFont val="Arial"/>
        <family val="2"/>
      </rPr>
      <t>F</t>
    </r>
  </si>
  <si>
    <t>Calculate Feedback Resistor</t>
  </si>
  <si>
    <r>
      <t>C</t>
    </r>
    <r>
      <rPr>
        <b/>
        <vertAlign val="subscript"/>
        <sz val="12"/>
        <rFont val="Arial"/>
        <family val="2"/>
      </rPr>
      <t>Z</t>
    </r>
  </si>
  <si>
    <t>nF</t>
  </si>
  <si>
    <t>Calculate Pole Capacitor</t>
  </si>
  <si>
    <t>Calculate Zero Capacitor</t>
  </si>
  <si>
    <t>mΩ</t>
  </si>
  <si>
    <t>Output Capacitance ESR  ≤</t>
  </si>
  <si>
    <t>Output Capacitance Cout  ≥</t>
  </si>
  <si>
    <t>kΩ</t>
  </si>
  <si>
    <r>
      <t>C</t>
    </r>
    <r>
      <rPr>
        <b/>
        <vertAlign val="subscript"/>
        <sz val="12"/>
        <rFont val="Arial"/>
        <family val="2"/>
      </rPr>
      <t>P</t>
    </r>
  </si>
  <si>
    <t>Cz</t>
  </si>
  <si>
    <t>values up to 10 nF</t>
  </si>
  <si>
    <t>values greater than 10nf</t>
  </si>
  <si>
    <r>
      <t>t</t>
    </r>
    <r>
      <rPr>
        <b/>
        <vertAlign val="subscript"/>
        <sz val="12"/>
        <rFont val="Arial"/>
        <family val="2"/>
      </rPr>
      <t>SS</t>
    </r>
  </si>
  <si>
    <t>Soft Start Time</t>
  </si>
  <si>
    <t>ms</t>
  </si>
  <si>
    <r>
      <t>C</t>
    </r>
    <r>
      <rPr>
        <b/>
        <vertAlign val="subscript"/>
        <sz val="12"/>
        <rFont val="Arial"/>
        <family val="2"/>
      </rPr>
      <t>SS</t>
    </r>
  </si>
  <si>
    <t>values greater than 10 nf</t>
  </si>
  <si>
    <r>
      <t>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</si>
  <si>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DELAB</t>
    </r>
  </si>
  <si>
    <r>
      <t>R</t>
    </r>
    <r>
      <rPr>
        <b/>
        <vertAlign val="subscript"/>
        <sz val="12"/>
        <rFont val="Arial"/>
        <family val="2"/>
      </rPr>
      <t>DELCD</t>
    </r>
  </si>
  <si>
    <r>
      <t>t</t>
    </r>
    <r>
      <rPr>
        <b/>
        <vertAlign val="subscript"/>
        <sz val="12"/>
        <rFont val="Arial"/>
        <family val="2"/>
      </rPr>
      <t>CDSET</t>
    </r>
  </si>
  <si>
    <r>
      <t>Set to half of 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</si>
  <si>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DELEF</t>
    </r>
  </si>
  <si>
    <t>Setting Minimum on Time</t>
  </si>
  <si>
    <t>Minimum on Time</t>
  </si>
  <si>
    <r>
      <t>t</t>
    </r>
    <r>
      <rPr>
        <b/>
        <vertAlign val="subscript"/>
        <sz val="12"/>
        <rFont val="Arial"/>
        <family val="2"/>
      </rPr>
      <t>MIN</t>
    </r>
  </si>
  <si>
    <r>
      <t>R</t>
    </r>
    <r>
      <rPr>
        <b/>
        <vertAlign val="subscript"/>
        <sz val="12"/>
        <rFont val="Arial"/>
        <family val="2"/>
      </rPr>
      <t>TMIN</t>
    </r>
  </si>
  <si>
    <r>
      <t>Calculate R</t>
    </r>
    <r>
      <rPr>
        <b/>
        <vertAlign val="subscript"/>
        <sz val="12"/>
        <rFont val="Arial"/>
        <family val="2"/>
      </rPr>
      <t>TMIN</t>
    </r>
  </si>
  <si>
    <t>Setup PWM Switching Frequency</t>
  </si>
  <si>
    <r>
      <t>Calculate R</t>
    </r>
    <r>
      <rPr>
        <b/>
        <vertAlign val="subscript"/>
        <sz val="12"/>
        <rFont val="Arial"/>
        <family val="2"/>
      </rPr>
      <t>T</t>
    </r>
    <r>
      <rPr>
        <b/>
        <sz val="12"/>
        <rFont val="Arial"/>
        <family val="2"/>
      </rPr>
      <t xml:space="preserve"> Value</t>
    </r>
  </si>
  <si>
    <r>
      <t>R</t>
    </r>
    <r>
      <rPr>
        <b/>
        <vertAlign val="subscript"/>
        <sz val="12"/>
        <rFont val="Arial"/>
        <family val="2"/>
      </rPr>
      <t>T</t>
    </r>
  </si>
  <si>
    <t>Setup Slope Compensation</t>
  </si>
  <si>
    <t>V/us</t>
  </si>
  <si>
    <r>
      <t>Calculate V</t>
    </r>
    <r>
      <rPr>
        <b/>
        <vertAlign val="subscript"/>
        <sz val="12"/>
        <rFont val="Arial"/>
        <family val="2"/>
      </rPr>
      <t>SLOPE</t>
    </r>
  </si>
  <si>
    <r>
      <t>V</t>
    </r>
    <r>
      <rPr>
        <b/>
        <vertAlign val="subscript"/>
        <sz val="12"/>
        <rFont val="Arial"/>
        <family val="2"/>
      </rPr>
      <t>SLOPE</t>
    </r>
  </si>
  <si>
    <r>
      <t>Calculate R</t>
    </r>
    <r>
      <rPr>
        <b/>
        <vertAlign val="subscript"/>
        <sz val="12"/>
        <rFont val="Arial"/>
        <family val="2"/>
      </rPr>
      <t>SUM</t>
    </r>
  </si>
  <si>
    <r>
      <t>R</t>
    </r>
    <r>
      <rPr>
        <b/>
        <vertAlign val="subscript"/>
        <sz val="12"/>
        <rFont val="Arial"/>
        <family val="2"/>
      </rPr>
      <t>SUM</t>
    </r>
  </si>
  <si>
    <r>
      <t>Voltage across R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at 15% load</t>
    </r>
  </si>
  <si>
    <r>
      <t>V</t>
    </r>
    <r>
      <rPr>
        <b/>
        <vertAlign val="subscript"/>
        <sz val="12"/>
        <rFont val="Arial"/>
        <family val="2"/>
      </rPr>
      <t>RS</t>
    </r>
  </si>
  <si>
    <r>
      <t>R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</si>
  <si>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E</t>
    </r>
  </si>
  <si>
    <r>
      <t>Calculate R</t>
    </r>
    <r>
      <rPr>
        <b/>
        <vertAlign val="subscript"/>
        <sz val="12"/>
        <rFont val="Arial"/>
        <family val="2"/>
      </rPr>
      <t xml:space="preserve">E </t>
    </r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</si>
  <si>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LOUT</t>
    </r>
  </si>
  <si>
    <t>Partial RMS Current</t>
  </si>
  <si>
    <t>Counter</t>
  </si>
  <si>
    <t>Gco n1/d1</t>
  </si>
  <si>
    <t>Gco 1/d2</t>
  </si>
  <si>
    <t>Gco n1/(d1*d2)</t>
  </si>
  <si>
    <t>Gco(f)</t>
  </si>
  <si>
    <t>|Gco(f)|</t>
  </si>
  <si>
    <t>Gc n1/n1</t>
  </si>
  <si>
    <t>Gc 1/n2</t>
  </si>
  <si>
    <t>Gc(f)</t>
  </si>
  <si>
    <t>Gc(f)*Gco(f)</t>
  </si>
  <si>
    <t>TvdB(f)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</si>
  <si>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(f)</t>
    </r>
  </si>
  <si>
    <t>frequency</t>
  </si>
  <si>
    <t>TvdB(f)
MathCad Check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</si>
  <si>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(f)
MathCAD
Check</t>
    </r>
  </si>
  <si>
    <t>Frequency</t>
  </si>
  <si>
    <t>ӨTv(f)</t>
  </si>
  <si>
    <t>T1 Primary Magnetizing Inductance &gt; or =</t>
  </si>
  <si>
    <r>
      <t>Calculate T1 Secondary RMS Current (I</t>
    </r>
    <r>
      <rPr>
        <b/>
        <vertAlign val="subscript"/>
        <sz val="12"/>
        <rFont val="Arial"/>
        <family val="2"/>
      </rPr>
      <t>SRMS</t>
    </r>
    <r>
      <rPr>
        <b/>
        <sz val="12"/>
        <rFont val="Arial"/>
        <family val="2"/>
      </rPr>
      <t>)</t>
    </r>
  </si>
  <si>
    <r>
      <t>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equivalent series resistance</t>
    </r>
  </si>
  <si>
    <t>Total Equivalent Series Resistance</t>
  </si>
  <si>
    <t>QE and QF on Resistance</t>
  </si>
  <si>
    <t>Minimum Gate Charge at the beginning of the Miller Plateau</t>
  </si>
  <si>
    <r>
      <t>Approximate QE and QF V</t>
    </r>
    <r>
      <rPr>
        <b/>
        <vertAlign val="subscript"/>
        <sz val="12"/>
        <rFont val="Arial"/>
        <family val="2"/>
      </rPr>
      <t>ds</t>
    </r>
    <r>
      <rPr>
        <b/>
        <sz val="12"/>
        <rFont val="Arial"/>
        <family val="2"/>
      </rPr>
      <t xml:space="preserve"> Rise and Fall Times</t>
    </r>
  </si>
  <si>
    <t>Equivalent Series Resistance</t>
  </si>
  <si>
    <r>
      <t>Estimate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Power Dissipation</t>
    </r>
  </si>
  <si>
    <t>Programmed Voltage Reference, Needs to be &lt; 5V</t>
  </si>
  <si>
    <t>Load Impedance at 10% Load</t>
  </si>
  <si>
    <t>Calculate Soft Start Capacitor</t>
  </si>
  <si>
    <t>Calculate 1/4 LC Tank Frequency and set AB Initial Delay</t>
  </si>
  <si>
    <t>Calculate AB timing resistor</t>
  </si>
  <si>
    <r>
      <t>Set Initial CD delay to AB Delay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= t</t>
    </r>
    <r>
      <rPr>
        <b/>
        <vertAlign val="subscript"/>
        <sz val="12"/>
        <rFont val="Arial"/>
        <family val="2"/>
      </rPr>
      <t>CDSET</t>
    </r>
  </si>
  <si>
    <r>
      <t>Calculate Magnetizing Current during I</t>
    </r>
    <r>
      <rPr>
        <b/>
        <vertAlign val="subscript"/>
        <sz val="12"/>
        <rFont val="Arial"/>
        <family val="2"/>
      </rPr>
      <t>LOUT</t>
    </r>
    <r>
      <rPr>
        <b/>
        <sz val="12"/>
        <rFont val="Arial"/>
        <family val="2"/>
      </rPr>
      <t xml:space="preserve"> down slope</t>
    </r>
  </si>
  <si>
    <t>Setup DCM Comparator</t>
  </si>
  <si>
    <t>Voltage Applied to FET Gate ≈ VDD</t>
  </si>
  <si>
    <r>
      <t>Double pole of G</t>
    </r>
    <r>
      <rPr>
        <b/>
        <vertAlign val="subscript"/>
        <sz val="12"/>
        <rFont val="Arial"/>
        <family val="2"/>
      </rPr>
      <t>CO</t>
    </r>
    <r>
      <rPr>
        <b/>
        <sz val="12"/>
        <rFont val="Arial"/>
        <family val="2"/>
      </rPr>
      <t>(f)</t>
    </r>
  </si>
  <si>
    <r>
      <t>f</t>
    </r>
    <r>
      <rPr>
        <b/>
        <vertAlign val="subscript"/>
        <sz val="12"/>
        <rFont val="Arial"/>
        <family val="2"/>
      </rPr>
      <t>PP</t>
    </r>
  </si>
  <si>
    <r>
      <t>Select Shim Inductor (L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)</t>
    </r>
  </si>
  <si>
    <r>
      <t>Selecting Output Inductor (L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</si>
  <si>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Selecting Output Capacitance (C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</si>
  <si>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Input Capacitance Calculations (C</t>
    </r>
    <r>
      <rPr>
        <b/>
        <vertAlign val="subscript"/>
        <sz val="12"/>
        <color indexed="9"/>
        <rFont val="Arial"/>
        <family val="2"/>
      </rPr>
      <t>IN</t>
    </r>
    <r>
      <rPr>
        <b/>
        <sz val="12"/>
        <color indexed="9"/>
        <rFont val="Arial"/>
        <family val="2"/>
      </rPr>
      <t>)</t>
    </r>
  </si>
  <si>
    <t>Recalculate Power Budget 
This is the remaining power left for the CT network, IC and IC sensing resistors</t>
  </si>
  <si>
    <r>
      <t>Setting up Voltage Amplifier Reference G</t>
    </r>
    <r>
      <rPr>
        <b/>
        <vertAlign val="subscript"/>
        <sz val="12"/>
        <color indexed="9"/>
        <rFont val="Arial"/>
        <family val="2"/>
      </rPr>
      <t>C</t>
    </r>
    <r>
      <rPr>
        <b/>
        <sz val="12"/>
        <color indexed="9"/>
        <rFont val="Arial"/>
        <family val="2"/>
      </rPr>
      <t>(f)</t>
    </r>
  </si>
  <si>
    <r>
      <t>Select Soft Start Capacitor (C</t>
    </r>
    <r>
      <rPr>
        <b/>
        <vertAlign val="subscript"/>
        <sz val="12"/>
        <color indexed="9"/>
        <rFont val="Arial"/>
        <family val="2"/>
      </rPr>
      <t>SS</t>
    </r>
    <r>
      <rPr>
        <b/>
        <sz val="12"/>
        <color indexed="9"/>
        <rFont val="Arial"/>
        <family val="2"/>
      </rPr>
      <t>)</t>
    </r>
  </si>
  <si>
    <t>It is recommended that you read this application note before using this design tool</t>
  </si>
  <si>
    <t>Please Refer to Figure of T1 Current</t>
  </si>
  <si>
    <r>
      <t>Primary Magnetizing Current Based on L</t>
    </r>
    <r>
      <rPr>
        <b/>
        <vertAlign val="subscript"/>
        <sz val="12"/>
        <rFont val="Arial"/>
        <family val="2"/>
      </rPr>
      <t>MAG</t>
    </r>
  </si>
  <si>
    <r>
      <t>Calculate T1 Primary RMS Current (I</t>
    </r>
    <r>
      <rPr>
        <b/>
        <vertAlign val="subscript"/>
        <sz val="12"/>
        <rFont val="Arial"/>
        <family val="2"/>
      </rPr>
      <t>PRMS</t>
    </r>
    <r>
      <rPr>
        <b/>
        <sz val="12"/>
        <rFont val="Arial"/>
        <family val="2"/>
      </rPr>
      <t>)</t>
    </r>
  </si>
  <si>
    <r>
      <t>Setting up the current sense network (CT, R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, R</t>
    </r>
    <r>
      <rPr>
        <b/>
        <vertAlign val="subscript"/>
        <sz val="12"/>
        <color indexed="9"/>
        <rFont val="Arial"/>
        <family val="2"/>
      </rPr>
      <t xml:space="preserve">RE, </t>
    </r>
    <r>
      <rPr>
        <b/>
        <sz val="12"/>
        <color indexed="9"/>
        <rFont val="Arial"/>
        <family val="2"/>
      </rPr>
      <t>D</t>
    </r>
    <r>
      <rPr>
        <b/>
        <vertAlign val="subscript"/>
        <sz val="12"/>
        <color indexed="9"/>
        <rFont val="Arial"/>
        <family val="2"/>
      </rPr>
      <t>A</t>
    </r>
    <r>
      <rPr>
        <b/>
        <sz val="12"/>
        <color indexed="9"/>
        <rFont val="Arial"/>
        <family val="2"/>
      </rPr>
      <t>):</t>
    </r>
  </si>
  <si>
    <t>Closest Standard Capacitor Value</t>
  </si>
  <si>
    <t>Closest Standard Resistor Value (E48)</t>
  </si>
  <si>
    <t>4. The spreadsheet will calculate the ideal values and display the results in red type.</t>
  </si>
  <si>
    <r>
      <t>L</t>
    </r>
    <r>
      <rPr>
        <b/>
        <vertAlign val="subscript"/>
        <sz val="12"/>
        <rFont val="Arial"/>
        <family val="2"/>
      </rPr>
      <t>LK</t>
    </r>
  </si>
  <si>
    <t>Measured Transformer Primary Leakage Inductance</t>
  </si>
  <si>
    <t>&gt; Invalid parameters entered in yellow cells</t>
  </si>
  <si>
    <t>&gt; Design cannot calculate realistic values for your design parameters</t>
  </si>
  <si>
    <t>&gt; Efficiency goal with selected components may not be achievable</t>
  </si>
  <si>
    <t>Warning Negative Numbers in Calculated Values Could Indicate</t>
  </si>
  <si>
    <t>Select Transformer Turns Ratio</t>
  </si>
  <si>
    <r>
      <t>R</t>
    </r>
    <r>
      <rPr>
        <b/>
        <vertAlign val="subscript"/>
        <sz val="12"/>
        <rFont val="Arial"/>
        <family val="2"/>
      </rPr>
      <t>DA1</t>
    </r>
  </si>
  <si>
    <r>
      <t>V</t>
    </r>
    <r>
      <rPr>
        <b/>
        <vertAlign val="subscript"/>
        <sz val="12"/>
        <rFont val="Arial"/>
        <family val="2"/>
      </rPr>
      <t>ADEL</t>
    </r>
  </si>
  <si>
    <t>Calculate Voltage at ADEL pin to Meet Delay Range</t>
  </si>
  <si>
    <r>
      <t>Select Standard Resistor for R</t>
    </r>
    <r>
      <rPr>
        <b/>
        <vertAlign val="subscript"/>
        <sz val="12"/>
        <rFont val="Arial"/>
        <family val="2"/>
      </rPr>
      <t xml:space="preserve">DA1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</si>
  <si>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DA2</t>
    </r>
  </si>
  <si>
    <r>
      <t>R</t>
    </r>
    <r>
      <rPr>
        <b/>
        <vertAlign val="subscript"/>
        <sz val="12"/>
        <rFont val="Arial"/>
        <family val="2"/>
      </rPr>
      <t>DA2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</si>
  <si>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DA2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</si>
  <si>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Recalculate V</t>
    </r>
    <r>
      <rPr>
        <b/>
        <vertAlign val="subscript"/>
        <sz val="12"/>
        <rFont val="Arial"/>
        <family val="2"/>
      </rPr>
      <t>ADEL</t>
    </r>
    <r>
      <rPr>
        <b/>
        <sz val="12"/>
        <rFont val="Arial"/>
        <family val="2"/>
      </rPr>
      <t xml:space="preserve"> Based on R</t>
    </r>
    <r>
      <rPr>
        <b/>
        <vertAlign val="subscript"/>
        <sz val="12"/>
        <rFont val="Arial"/>
        <family val="2"/>
      </rPr>
      <t>DA1</t>
    </r>
    <r>
      <rPr>
        <b/>
        <sz val="12"/>
        <rFont val="Arial"/>
        <family val="2"/>
      </rPr>
      <t xml:space="preserve"> and R</t>
    </r>
    <r>
      <rPr>
        <b/>
        <vertAlign val="subscript"/>
        <sz val="12"/>
        <rFont val="Arial"/>
        <family val="2"/>
      </rPr>
      <t>DA2</t>
    </r>
    <r>
      <rPr>
        <b/>
        <sz val="12"/>
        <rFont val="Arial"/>
        <family val="2"/>
      </rPr>
      <t xml:space="preserve"> Selection</t>
    </r>
  </si>
  <si>
    <r>
      <t>Enter/Fine Tune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Based on Valley Switching/ZVS</t>
    </r>
  </si>
  <si>
    <r>
      <t>Setting AB Initial Turn-on Delay (t</t>
    </r>
    <r>
      <rPr>
        <b/>
        <vertAlign val="subscript"/>
        <sz val="12"/>
        <color indexed="9"/>
        <rFont val="Arial"/>
        <family val="2"/>
      </rPr>
      <t>ABSET</t>
    </r>
    <r>
      <rPr>
        <b/>
        <sz val="12"/>
        <color indexed="9"/>
        <rFont val="Arial"/>
        <family val="2"/>
      </rPr>
      <t>)</t>
    </r>
  </si>
  <si>
    <r>
      <t>Setting CD Initial Turn-on Delay (t</t>
    </r>
    <r>
      <rPr>
        <b/>
        <vertAlign val="subscript"/>
        <sz val="12"/>
        <color indexed="9"/>
        <rFont val="Arial"/>
        <family val="2"/>
      </rPr>
      <t>CDSET</t>
    </r>
    <r>
      <rPr>
        <b/>
        <sz val="12"/>
        <color indexed="9"/>
        <rFont val="Arial"/>
        <family val="2"/>
      </rPr>
      <t>)</t>
    </r>
  </si>
  <si>
    <r>
      <t>R</t>
    </r>
    <r>
      <rPr>
        <b/>
        <vertAlign val="subscript"/>
        <sz val="12"/>
        <rFont val="Arial"/>
        <family val="2"/>
      </rPr>
      <t>CA1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</si>
  <si>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CA1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</si>
  <si>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CA2</t>
    </r>
  </si>
  <si>
    <r>
      <t>R</t>
    </r>
    <r>
      <rPr>
        <b/>
        <vertAlign val="subscript"/>
        <sz val="12"/>
        <rFont val="Arial"/>
        <family val="2"/>
      </rPr>
      <t>CA2</t>
    </r>
  </si>
  <si>
    <t>Calculate Voltage at ADELEF pin to Meet Delay Range</t>
  </si>
  <si>
    <r>
      <t>V</t>
    </r>
    <r>
      <rPr>
        <b/>
        <vertAlign val="subscript"/>
        <sz val="12"/>
        <rFont val="Arial"/>
        <family val="2"/>
      </rPr>
      <t>ADELEF</t>
    </r>
  </si>
  <si>
    <r>
      <t>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= t</t>
    </r>
    <r>
      <rPr>
        <b/>
        <vertAlign val="subscript"/>
        <sz val="12"/>
        <rFont val="Arial"/>
        <family val="2"/>
      </rPr>
      <t>BESET</t>
    </r>
  </si>
  <si>
    <r>
      <t>Enter/Fine Tune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and t</t>
    </r>
    <r>
      <rPr>
        <b/>
        <vertAlign val="subscript"/>
        <sz val="12"/>
        <rFont val="Arial"/>
        <family val="2"/>
      </rPr>
      <t>AFSET</t>
    </r>
  </si>
  <si>
    <t>Select Standard Resistor Value</t>
  </si>
  <si>
    <r>
      <t>Setting AF and BE turnoff delay (t</t>
    </r>
    <r>
      <rPr>
        <b/>
        <vertAlign val="subscript"/>
        <sz val="12"/>
        <color indexed="9"/>
        <rFont val="Arial"/>
        <family val="2"/>
      </rPr>
      <t>AFSET</t>
    </r>
    <r>
      <rPr>
        <b/>
        <sz val="12"/>
        <color indexed="9"/>
        <rFont val="Arial"/>
        <family val="2"/>
      </rPr>
      <t>, t</t>
    </r>
    <r>
      <rPr>
        <b/>
        <vertAlign val="subscript"/>
        <sz val="12"/>
        <color indexed="9"/>
        <rFont val="Arial"/>
        <family val="2"/>
      </rPr>
      <t>BESET</t>
    </r>
    <r>
      <rPr>
        <b/>
        <sz val="12"/>
        <color indexed="9"/>
        <rFont val="Arial"/>
        <family val="2"/>
      </rPr>
      <t>)</t>
    </r>
  </si>
  <si>
    <t>Select Standard Capacitor Value</t>
  </si>
  <si>
    <t>Select Standard Resistor Value (Between 13K and 90K ohm)</t>
  </si>
  <si>
    <t>Select Standard Resistor Value(Between 13K and 90K ohm)</t>
  </si>
  <si>
    <t>This design tool was generated based on the information in application report SLUA560</t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</si>
  <si>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LMAG</t>
    </r>
  </si>
  <si>
    <t>6. Note this design tool was generated to accompany application report     SLUA560</t>
  </si>
  <si>
    <t>Enter Design Parameters and Chosen Component Values in Yellow Cells</t>
  </si>
  <si>
    <r>
      <t>V</t>
    </r>
    <r>
      <rPr>
        <b/>
        <vertAlign val="subscript"/>
        <sz val="12"/>
        <rFont val="Arial"/>
        <family val="2"/>
      </rPr>
      <t>SLOPE1</t>
    </r>
  </si>
  <si>
    <r>
      <t>V</t>
    </r>
    <r>
      <rPr>
        <b/>
        <vertAlign val="subscript"/>
        <sz val="12"/>
        <rFont val="Arial"/>
        <family val="2"/>
      </rPr>
      <t>SLOPE2</t>
    </r>
  </si>
  <si>
    <r>
      <t>Calculate V</t>
    </r>
    <r>
      <rPr>
        <b/>
        <vertAlign val="subscript"/>
        <sz val="12"/>
        <rFont val="Arial"/>
        <family val="2"/>
      </rPr>
      <t>SLOPE1</t>
    </r>
  </si>
  <si>
    <r>
      <t>Calculate V</t>
    </r>
    <r>
      <rPr>
        <b/>
        <vertAlign val="subscript"/>
        <sz val="12"/>
        <rFont val="Arial"/>
        <family val="2"/>
      </rPr>
      <t>SLOPE2</t>
    </r>
  </si>
  <si>
    <t>Assumes the centre tapped secondary - as per Functional Schematic</t>
  </si>
  <si>
    <t>UCC28950 Excel Design Tool: SLUC222D</t>
  </si>
  <si>
    <t>Revision: D</t>
  </si>
  <si>
    <t>UCC28950 Design Calculator</t>
  </si>
</sst>
</file>

<file path=xl/styles.xml><?xml version="1.0" encoding="utf-8"?>
<styleSheet xmlns="http://schemas.openxmlformats.org/spreadsheetml/2006/main">
  <numFmts count="2">
    <numFmt numFmtId="176" formatCode="0.0"/>
    <numFmt numFmtId="177" formatCode="0.000"/>
  </numFmts>
  <fonts count="3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26"/>
      <color indexed="10"/>
      <name val="Arial"/>
      <family val="2"/>
    </font>
    <font>
      <sz val="20"/>
      <name val="Arial"/>
      <family val="2"/>
    </font>
    <font>
      <b/>
      <vertAlign val="subscript"/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2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b/>
      <sz val="12"/>
      <color indexed="9"/>
      <name val="Arial"/>
      <family val="2"/>
    </font>
    <font>
      <b/>
      <vertAlign val="subscript"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53"/>
      <name val="Arial"/>
      <family val="2"/>
    </font>
    <font>
      <b/>
      <sz val="12"/>
      <color rgb="FFFF0000"/>
      <name val="Arial"/>
      <family val="2"/>
    </font>
    <font>
      <sz val="11"/>
      <color rgb="FF00B050"/>
      <name val="Calibri"/>
      <family val="2"/>
    </font>
    <font>
      <b/>
      <sz val="12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0" xfId="0" applyFont="1" applyFill="1" applyAlignment="1">
      <alignment vertical="center"/>
    </xf>
    <xf numFmtId="0" fontId="7" fillId="3" borderId="0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49" fontId="1" fillId="3" borderId="0" xfId="0" applyNumberFormat="1" applyFont="1" applyFill="1" applyBorder="1" applyProtection="1">
      <protection hidden="1"/>
    </xf>
    <xf numFmtId="0" fontId="7" fillId="3" borderId="1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1" fontId="7" fillId="3" borderId="0" xfId="0" applyNumberFormat="1" applyFont="1" applyFill="1" applyBorder="1" applyProtection="1">
      <protection hidden="1"/>
    </xf>
    <xf numFmtId="1" fontId="11" fillId="5" borderId="4" xfId="0" applyNumberFormat="1" applyFont="1" applyFill="1" applyBorder="1" applyAlignment="1" applyProtection="1">
      <alignment horizontal="center"/>
      <protection hidden="1"/>
    </xf>
    <xf numFmtId="0" fontId="11" fillId="5" borderId="5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 wrapText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10" xfId="0" applyFont="1" applyFill="1" applyBorder="1" applyProtection="1">
      <protection hidden="1"/>
    </xf>
    <xf numFmtId="0" fontId="1" fillId="3" borderId="11" xfId="0" applyFont="1" applyFill="1" applyBorder="1" applyProtection="1">
      <protection hidden="1"/>
    </xf>
    <xf numFmtId="1" fontId="12" fillId="3" borderId="0" xfId="0" applyNumberFormat="1" applyFont="1" applyFill="1" applyBorder="1" applyProtection="1">
      <protection hidden="1"/>
    </xf>
    <xf numFmtId="177" fontId="13" fillId="3" borderId="0" xfId="0" applyNumberFormat="1" applyFont="1" applyFill="1" applyBorder="1" applyAlignment="1" applyProtection="1">
      <alignment horizontal="center"/>
      <protection hidden="1"/>
    </xf>
    <xf numFmtId="2" fontId="12" fillId="3" borderId="0" xfId="0" applyNumberFormat="1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Protection="1">
      <protection hidden="1"/>
    </xf>
    <xf numFmtId="0" fontId="14" fillId="3" borderId="0" xfId="0" applyFont="1" applyFill="1" applyBorder="1" applyProtection="1">
      <protection hidden="1"/>
    </xf>
    <xf numFmtId="0" fontId="15" fillId="3" borderId="0" xfId="0" applyFont="1" applyFill="1" applyBorder="1" applyAlignment="1" applyProtection="1">
      <alignment horizontal="center" wrapText="1"/>
      <protection hidden="1"/>
    </xf>
    <xf numFmtId="2" fontId="1" fillId="3" borderId="0" xfId="0" applyNumberFormat="1" applyFont="1" applyFill="1" applyBorder="1" applyAlignment="1" applyProtection="1">
      <alignment horizontal="center"/>
      <protection hidden="1"/>
    </xf>
    <xf numFmtId="1" fontId="16" fillId="3" borderId="0" xfId="0" applyNumberFormat="1" applyFont="1" applyFill="1" applyBorder="1" applyProtection="1"/>
    <xf numFmtId="0" fontId="1" fillId="3" borderId="13" xfId="0" applyFont="1" applyFill="1" applyBorder="1" applyProtection="1">
      <protection hidden="1"/>
    </xf>
    <xf numFmtId="0" fontId="10" fillId="8" borderId="14" xfId="0" applyFont="1" applyFill="1" applyBorder="1" applyAlignment="1">
      <alignment horizontal="center" wrapText="1"/>
    </xf>
    <xf numFmtId="0" fontId="16" fillId="3" borderId="0" xfId="0" applyFont="1" applyFill="1" applyBorder="1" applyProtection="1">
      <protection hidden="1"/>
    </xf>
    <xf numFmtId="0" fontId="10" fillId="8" borderId="6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horizontal="center"/>
    </xf>
    <xf numFmtId="0" fontId="11" fillId="3" borderId="0" xfId="0" applyFont="1" applyFill="1" applyBorder="1" applyProtection="1">
      <protection hidden="1"/>
    </xf>
    <xf numFmtId="0" fontId="1" fillId="3" borderId="0" xfId="0" applyFont="1" applyFill="1"/>
    <xf numFmtId="49" fontId="17" fillId="5" borderId="6" xfId="0" applyNumberFormat="1" applyFont="1" applyFill="1" applyBorder="1" applyAlignment="1">
      <alignment horizontal="center" wrapText="1"/>
    </xf>
    <xf numFmtId="49" fontId="17" fillId="5" borderId="7" xfId="0" applyNumberFormat="1" applyFont="1" applyFill="1" applyBorder="1" applyAlignment="1">
      <alignment horizontal="center" wrapText="1"/>
    </xf>
    <xf numFmtId="0" fontId="18" fillId="3" borderId="0" xfId="0" applyFont="1" applyFill="1"/>
    <xf numFmtId="49" fontId="0" fillId="3" borderId="0" xfId="0" applyNumberFormat="1" applyFill="1" applyBorder="1" applyProtection="1"/>
    <xf numFmtId="49" fontId="17" fillId="5" borderId="8" xfId="0" applyNumberFormat="1" applyFont="1" applyFill="1" applyBorder="1" applyAlignment="1">
      <alignment horizontal="center" wrapText="1"/>
    </xf>
    <xf numFmtId="49" fontId="12" fillId="3" borderId="0" xfId="0" applyNumberFormat="1" applyFont="1" applyFill="1" applyBorder="1" applyProtection="1">
      <protection hidden="1"/>
    </xf>
    <xf numFmtId="0" fontId="12" fillId="3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7" fillId="3" borderId="0" xfId="0" applyFont="1" applyFill="1" applyBorder="1" applyAlignment="1" applyProtection="1">
      <alignment horizontal="center" wrapText="1"/>
      <protection hidden="1"/>
    </xf>
    <xf numFmtId="0" fontId="12" fillId="3" borderId="0" xfId="0" applyFont="1" applyFill="1"/>
    <xf numFmtId="0" fontId="19" fillId="3" borderId="0" xfId="0" applyFont="1" applyFill="1" applyProtection="1">
      <protection hidden="1"/>
    </xf>
    <xf numFmtId="0" fontId="0" fillId="3" borderId="0" xfId="0" applyFill="1" applyBorder="1" applyAlignment="1">
      <alignment wrapText="1"/>
    </xf>
    <xf numFmtId="0" fontId="0" fillId="3" borderId="0" xfId="0" applyFill="1" applyProtection="1">
      <protection hidden="1"/>
    </xf>
    <xf numFmtId="0" fontId="2" fillId="3" borderId="15" xfId="0" applyFont="1" applyFill="1" applyBorder="1" applyAlignment="1" applyProtection="1">
      <alignment horizontal="left"/>
    </xf>
    <xf numFmtId="0" fontId="2" fillId="9" borderId="15" xfId="0" applyFont="1" applyFill="1" applyBorder="1" applyAlignment="1" applyProtection="1">
      <alignment horizontal="left"/>
      <protection locked="0"/>
    </xf>
    <xf numFmtId="9" fontId="2" fillId="9" borderId="15" xfId="0" applyNumberFormat="1" applyFont="1" applyFill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/>
    </xf>
    <xf numFmtId="14" fontId="2" fillId="0" borderId="15" xfId="0" applyNumberFormat="1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 wrapText="1"/>
    </xf>
    <xf numFmtId="0" fontId="2" fillId="10" borderId="15" xfId="0" applyFont="1" applyFill="1" applyBorder="1" applyAlignment="1" applyProtection="1">
      <alignment horizontal="left"/>
    </xf>
    <xf numFmtId="0" fontId="2" fillId="11" borderId="15" xfId="0" applyFont="1" applyFill="1" applyBorder="1" applyAlignment="1" applyProtection="1">
      <alignment horizontal="left"/>
    </xf>
    <xf numFmtId="176" fontId="2" fillId="0" borderId="15" xfId="0" applyNumberFormat="1" applyFont="1" applyBorder="1" applyAlignment="1" applyProtection="1">
      <alignment horizontal="left"/>
    </xf>
    <xf numFmtId="2" fontId="2" fillId="0" borderId="15" xfId="0" applyNumberFormat="1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 wrapText="1"/>
    </xf>
    <xf numFmtId="1" fontId="2" fillId="3" borderId="15" xfId="0" applyNumberFormat="1" applyFont="1" applyFill="1" applyBorder="1" applyAlignment="1" applyProtection="1">
      <alignment horizontal="left"/>
    </xf>
    <xf numFmtId="0" fontId="22" fillId="3" borderId="15" xfId="0" applyFont="1" applyFill="1" applyBorder="1" applyAlignment="1" applyProtection="1">
      <alignment horizontal="left" wrapText="1"/>
    </xf>
    <xf numFmtId="0" fontId="2" fillId="0" borderId="15" xfId="0" applyFont="1" applyBorder="1" applyAlignment="1" applyProtection="1">
      <alignment horizontal="left"/>
      <protection locked="0"/>
    </xf>
    <xf numFmtId="0" fontId="2" fillId="11" borderId="15" xfId="0" applyFont="1" applyFill="1" applyBorder="1" applyAlignment="1" applyProtection="1">
      <alignment horizontal="left" wrapText="1"/>
    </xf>
    <xf numFmtId="176" fontId="11" fillId="5" borderId="16" xfId="0" applyNumberFormat="1" applyFont="1" applyFill="1" applyBorder="1" applyProtection="1">
      <protection hidden="1"/>
    </xf>
    <xf numFmtId="176" fontId="11" fillId="5" borderId="17" xfId="0" applyNumberFormat="1" applyFont="1" applyFill="1" applyBorder="1" applyProtection="1">
      <protection hidden="1"/>
    </xf>
    <xf numFmtId="176" fontId="11" fillId="5" borderId="18" xfId="0" applyNumberFormat="1" applyFont="1" applyFill="1" applyBorder="1" applyProtection="1">
      <protection hidden="1"/>
    </xf>
    <xf numFmtId="0" fontId="23" fillId="0" borderId="15" xfId="0" applyFont="1" applyBorder="1" applyAlignment="1" applyProtection="1">
      <alignment horizontal="left"/>
    </xf>
    <xf numFmtId="0" fontId="0" fillId="0" borderId="15" xfId="0" applyBorder="1"/>
    <xf numFmtId="0" fontId="0" fillId="0" borderId="15" xfId="0" applyBorder="1" applyAlignment="1">
      <alignment horizontal="left"/>
    </xf>
    <xf numFmtId="0" fontId="22" fillId="0" borderId="15" xfId="0" applyFont="1" applyFill="1" applyBorder="1" applyAlignment="1" applyProtection="1">
      <alignment horizontal="left"/>
    </xf>
    <xf numFmtId="177" fontId="0" fillId="0" borderId="15" xfId="0" applyNumberFormat="1" applyBorder="1"/>
    <xf numFmtId="0" fontId="0" fillId="0" borderId="15" xfId="0" applyFill="1" applyBorder="1"/>
    <xf numFmtId="0" fontId="24" fillId="0" borderId="15" xfId="0" applyFont="1" applyBorder="1"/>
    <xf numFmtId="0" fontId="0" fillId="0" borderId="15" xfId="0" applyBorder="1" applyAlignment="1">
      <alignment wrapText="1"/>
    </xf>
    <xf numFmtId="0" fontId="26" fillId="11" borderId="15" xfId="0" applyFont="1" applyFill="1" applyBorder="1" applyAlignment="1" applyProtection="1">
      <alignment horizontal="left"/>
    </xf>
    <xf numFmtId="0" fontId="26" fillId="12" borderId="15" xfId="0" applyFont="1" applyFill="1" applyBorder="1" applyAlignment="1" applyProtection="1">
      <alignment horizontal="left"/>
    </xf>
    <xf numFmtId="14" fontId="26" fillId="12" borderId="15" xfId="0" applyNumberFormat="1" applyFont="1" applyFill="1" applyBorder="1" applyAlignment="1" applyProtection="1">
      <alignment horizontal="left"/>
    </xf>
    <xf numFmtId="0" fontId="28" fillId="0" borderId="15" xfId="0" applyFont="1" applyBorder="1" applyAlignment="1" applyProtection="1">
      <alignment horizontal="left"/>
    </xf>
    <xf numFmtId="0" fontId="28" fillId="3" borderId="15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left" vertical="center" wrapText="1"/>
    </xf>
    <xf numFmtId="0" fontId="6" fillId="13" borderId="15" xfId="0" applyFont="1" applyFill="1" applyBorder="1" applyAlignment="1" applyProtection="1">
      <alignment horizontal="left"/>
    </xf>
    <xf numFmtId="14" fontId="6" fillId="13" borderId="15" xfId="0" applyNumberFormat="1" applyFont="1" applyFill="1" applyBorder="1" applyAlignment="1" applyProtection="1">
      <alignment horizontal="left"/>
    </xf>
    <xf numFmtId="0" fontId="26" fillId="14" borderId="15" xfId="0" applyFont="1" applyFill="1" applyBorder="1" applyAlignment="1" applyProtection="1">
      <alignment horizontal="left"/>
    </xf>
    <xf numFmtId="14" fontId="26" fillId="14" borderId="15" xfId="0" applyNumberFormat="1" applyFont="1" applyFill="1" applyBorder="1" applyAlignment="1" applyProtection="1">
      <alignment horizontal="left"/>
    </xf>
    <xf numFmtId="0" fontId="29" fillId="0" borderId="15" xfId="0" applyFont="1" applyBorder="1" applyAlignment="1" applyProtection="1">
      <alignment horizontal="left"/>
    </xf>
    <xf numFmtId="2" fontId="28" fillId="0" borderId="15" xfId="0" applyNumberFormat="1" applyFont="1" applyBorder="1" applyAlignment="1" applyProtection="1">
      <alignment horizontal="left"/>
    </xf>
    <xf numFmtId="2" fontId="2" fillId="13" borderId="15" xfId="0" applyNumberFormat="1" applyFont="1" applyFill="1" applyBorder="1" applyAlignment="1" applyProtection="1">
      <alignment horizontal="left"/>
      <protection locked="0"/>
    </xf>
    <xf numFmtId="2" fontId="2" fillId="3" borderId="15" xfId="0" applyNumberFormat="1" applyFont="1" applyFill="1" applyBorder="1" applyAlignment="1" applyProtection="1">
      <alignment horizontal="left"/>
    </xf>
    <xf numFmtId="2" fontId="26" fillId="12" borderId="15" xfId="0" applyNumberFormat="1" applyFont="1" applyFill="1" applyBorder="1" applyAlignment="1" applyProtection="1">
      <alignment horizontal="left"/>
    </xf>
    <xf numFmtId="2" fontId="6" fillId="13" borderId="15" xfId="0" applyNumberFormat="1" applyFont="1" applyFill="1" applyBorder="1" applyAlignment="1" applyProtection="1">
      <alignment horizontal="left"/>
    </xf>
    <xf numFmtId="2" fontId="26" fillId="14" borderId="15" xfId="0" applyNumberFormat="1" applyFont="1" applyFill="1" applyBorder="1" applyAlignment="1" applyProtection="1">
      <alignment horizontal="left"/>
    </xf>
    <xf numFmtId="2" fontId="2" fillId="9" borderId="15" xfId="0" applyNumberFormat="1" applyFont="1" applyFill="1" applyBorder="1" applyAlignment="1" applyProtection="1">
      <alignment horizontal="left"/>
      <protection locked="0"/>
    </xf>
    <xf numFmtId="2" fontId="2" fillId="10" borderId="15" xfId="0" applyNumberFormat="1" applyFont="1" applyFill="1" applyBorder="1" applyAlignment="1" applyProtection="1">
      <alignment horizontal="left"/>
    </xf>
    <xf numFmtId="2" fontId="26" fillId="11" borderId="15" xfId="0" applyNumberFormat="1" applyFont="1" applyFill="1" applyBorder="1" applyAlignment="1" applyProtection="1">
      <alignment horizontal="left"/>
    </xf>
    <xf numFmtId="2" fontId="2" fillId="11" borderId="15" xfId="0" applyNumberFormat="1" applyFont="1" applyFill="1" applyBorder="1" applyAlignment="1" applyProtection="1">
      <alignment horizontal="left"/>
    </xf>
    <xf numFmtId="2" fontId="22" fillId="0" borderId="15" xfId="0" applyNumberFormat="1" applyFont="1" applyBorder="1" applyAlignment="1" applyProtection="1">
      <alignment horizontal="left"/>
    </xf>
    <xf numFmtId="2" fontId="6" fillId="3" borderId="15" xfId="0" applyNumberFormat="1" applyFont="1" applyFill="1" applyBorder="1" applyAlignment="1" applyProtection="1">
      <alignment horizontal="left"/>
    </xf>
    <xf numFmtId="2" fontId="20" fillId="0" borderId="15" xfId="0" applyNumberFormat="1" applyFont="1" applyBorder="1" applyAlignment="1" applyProtection="1">
      <alignment horizontal="left"/>
    </xf>
    <xf numFmtId="2" fontId="2" fillId="0" borderId="15" xfId="0" applyNumberFormat="1" applyFont="1" applyBorder="1" applyAlignment="1">
      <alignment horizontal="left"/>
    </xf>
    <xf numFmtId="0" fontId="30" fillId="0" borderId="15" xfId="0" applyFont="1" applyBorder="1" applyAlignment="1" applyProtection="1">
      <alignment horizontal="left"/>
    </xf>
    <xf numFmtId="0" fontId="31" fillId="0" borderId="0" xfId="0" applyFont="1" applyAlignment="1">
      <alignment vertical="center"/>
    </xf>
    <xf numFmtId="0" fontId="32" fillId="0" borderId="15" xfId="0" applyFont="1" applyBorder="1" applyAlignment="1" applyProtection="1">
      <alignment horizontal="left"/>
    </xf>
    <xf numFmtId="177" fontId="2" fillId="13" borderId="15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7" fillId="3" borderId="0" xfId="0" applyFont="1" applyFill="1" applyBorder="1" applyAlignment="1" applyProtection="1">
      <alignment horizontal="center" wrapText="1"/>
      <protection hidden="1"/>
    </xf>
    <xf numFmtId="0" fontId="10" fillId="6" borderId="19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7" borderId="20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wrapText="1"/>
    </xf>
    <xf numFmtId="0" fontId="10" fillId="8" borderId="19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49" fontId="17" fillId="5" borderId="19" xfId="0" applyNumberFormat="1" applyFont="1" applyFill="1" applyBorder="1" applyAlignment="1">
      <alignment horizontal="center" wrapText="1"/>
    </xf>
    <xf numFmtId="49" fontId="17" fillId="5" borderId="0" xfId="0" applyNumberFormat="1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Tv(f) Frequency Response</a:t>
            </a:r>
          </a:p>
        </c:rich>
      </c:tx>
      <c:layout>
        <c:manualLayout>
          <c:xMode val="edge"/>
          <c:yMode val="edge"/>
          <c:x val="0.35753453421062092"/>
          <c:y val="3.00230946882217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17152476059456"/>
          <c:y val="0.12313458074569185"/>
          <c:w val="0.78913789313263649"/>
          <c:h val="0.72947910714493125"/>
        </c:manualLayout>
      </c:layout>
      <c:scatterChart>
        <c:scatterStyle val="smoothMarker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25.418228120725523</c:v>
                </c:pt>
                <c:pt idx="1">
                  <c:v>-13.118802522426957</c:v>
                </c:pt>
                <c:pt idx="2">
                  <c:v>-26.808777361853558</c:v>
                </c:pt>
                <c:pt idx="3">
                  <c:v>-29.541349435367103</c:v>
                </c:pt>
                <c:pt idx="4">
                  <c:v>-31.45827712346253</c:v>
                </c:pt>
                <c:pt idx="5">
                  <c:v>-32.901687343686604</c:v>
                </c:pt>
                <c:pt idx="6">
                  <c:v>-34.039778057820499</c:v>
                </c:pt>
                <c:pt idx="7">
                  <c:v>-34.967991142233693</c:v>
                </c:pt>
                <c:pt idx="8">
                  <c:v>-35.745708046131391</c:v>
                </c:pt>
                <c:pt idx="9">
                  <c:v>-36.412138146441421</c:v>
                </c:pt>
                <c:pt idx="10">
                  <c:v>-36.994212625207126</c:v>
                </c:pt>
                <c:pt idx="11">
                  <c:v>-37.510946578007847</c:v>
                </c:pt>
                <c:pt idx="12">
                  <c:v>-37.97604928902998</c:v>
                </c:pt>
                <c:pt idx="13">
                  <c:v>-38.399578711064301</c:v>
                </c:pt>
                <c:pt idx="14">
                  <c:v>-38.789033651279986</c:v>
                </c:pt>
                <c:pt idx="15">
                  <c:v>-39.150095770134229</c:v>
                </c:pt>
                <c:pt idx="16">
                  <c:v>-39.487144227746484</c:v>
                </c:pt>
                <c:pt idx="17">
                  <c:v>-39.803618245078937</c:v>
                </c:pt>
                <c:pt idx="18">
                  <c:v>-40.102275705205486</c:v>
                </c:pt>
                <c:pt idx="19">
                  <c:v>-40.385379539113416</c:v>
                </c:pt>
                <c:pt idx="20">
                  <c:v>-40.654833310617263</c:v>
                </c:pt>
                <c:pt idx="21">
                  <c:v>-40.912280679548545</c:v>
                </c:pt>
                <c:pt idx="22">
                  <c:v>-41.159178918400379</c:v>
                </c:pt>
                <c:pt idx="23">
                  <c:v>-41.396853587005879</c:v>
                </c:pt>
                <c:pt idx="24">
                  <c:v>-41.626539344416038</c:v>
                </c:pt>
                <c:pt idx="25">
                  <c:v>-41.849410387876119</c:v>
                </c:pt>
                <c:pt idx="26">
                  <c:v>-42.066602955142983</c:v>
                </c:pt>
                <c:pt idx="27">
                  <c:v>-42.279231576089067</c:v>
                </c:pt>
                <c:pt idx="28">
                  <c:v>-42.488400224642866</c:v>
                </c:pt>
                <c:pt idx="29">
                  <c:v>-42.695209144122437</c:v>
                </c:pt>
                <c:pt idx="30">
                  <c:v>-42.900757859206891</c:v>
                </c:pt>
                <c:pt idx="31">
                  <c:v>-43.106144720828667</c:v>
                </c:pt>
                <c:pt idx="32">
                  <c:v>-43.312463239420097</c:v>
                </c:pt>
                <c:pt idx="33">
                  <c:v>-43.520795435636678</c:v>
                </c:pt>
                <c:pt idx="34">
                  <c:v>-43.7322024665105</c:v>
                </c:pt>
                <c:pt idx="35">
                  <c:v>-43.947712859427071</c:v>
                </c:pt>
                <c:pt idx="36">
                  <c:v>-44.168308794831702</c:v>
                </c:pt>
                <c:pt idx="37">
                  <c:v>-44.394911006428892</c:v>
                </c:pt>
                <c:pt idx="38">
                  <c:v>-44.628362996754007</c:v>
                </c:pt>
                <c:pt idx="39">
                  <c:v>-44.869415375733873</c:v>
                </c:pt>
                <c:pt idx="40">
                  <c:v>-45.118711199147263</c:v>
                </c:pt>
                <c:pt idx="41">
                  <c:v>-45.376773194229528</c:v>
                </c:pt>
                <c:pt idx="42">
                  <c:v>-45.64399369851639</c:v>
                </c:pt>
                <c:pt idx="43">
                  <c:v>-45.920628001851711</c:v>
                </c:pt>
                <c:pt idx="44">
                  <c:v>-46.20679157759848</c:v>
                </c:pt>
                <c:pt idx="45">
                  <c:v>-46.502461435381321</c:v>
                </c:pt>
                <c:pt idx="46">
                  <c:v>-46.807481550378284</c:v>
                </c:pt>
                <c:pt idx="47">
                  <c:v>-47.121572053576067</c:v>
                </c:pt>
                <c:pt idx="48">
                  <c:v>-47.444341632865196</c:v>
                </c:pt>
                <c:pt idx="49">
                  <c:v>-47.775302419844522</c:v>
                </c:pt>
                <c:pt idx="50">
                  <c:v>-48.113886535894686</c:v>
                </c:pt>
                <c:pt idx="51">
                  <c:v>-48.459463446755478</c:v>
                </c:pt>
                <c:pt idx="52">
                  <c:v>-48.81135732074506</c:v>
                </c:pt>
                <c:pt idx="53">
                  <c:v>-49.168863687432008</c:v>
                </c:pt>
                <c:pt idx="54">
                  <c:v>-49.531264832278488</c:v>
                </c:pt>
                <c:pt idx="55">
                  <c:v>-49.89784351899948</c:v>
                </c:pt>
                <c:pt idx="56">
                  <c:v>-50.267894787587039</c:v>
                </c:pt>
                <c:pt idx="57">
                  <c:v>-50.640735718556826</c:v>
                </c:pt>
                <c:pt idx="58">
                  <c:v>-51.01571317401465</c:v>
                </c:pt>
                <c:pt idx="59">
                  <c:v>-51.392209619231402</c:v>
                </c:pt>
                <c:pt idx="60">
                  <c:v>-51.769647193938191</c:v>
                </c:pt>
                <c:pt idx="61">
                  <c:v>-52.147490242677968</c:v>
                </c:pt>
                <c:pt idx="62">
                  <c:v>-52.525246532108611</c:v>
                </c:pt>
                <c:pt idx="63">
                  <c:v>-52.902467384743503</c:v>
                </c:pt>
                <c:pt idx="64">
                  <c:v>-53.278746947864171</c:v>
                </c:pt>
                <c:pt idx="65">
                  <c:v>-53.653720797457609</c:v>
                </c:pt>
                <c:pt idx="66">
                  <c:v>-54.027064053521549</c:v>
                </c:pt>
                <c:pt idx="67">
                  <c:v>-54.398489157706187</c:v>
                </c:pt>
                <c:pt idx="68">
                  <c:v>-54.767743439015142</c:v>
                </c:pt>
                <c:pt idx="69">
                  <c:v>-55.134606569513103</c:v>
                </c:pt>
                <c:pt idx="70">
                  <c:v>-55.49888799051007</c:v>
                </c:pt>
                <c:pt idx="71">
                  <c:v>-55.860424370890691</c:v>
                </c:pt>
                <c:pt idx="72">
                  <c:v>-56.219077143263505</c:v>
                </c:pt>
                <c:pt idx="73">
                  <c:v>-56.57473015030557</c:v>
                </c:pt>
                <c:pt idx="74">
                  <c:v>-56.927287422874201</c:v>
                </c:pt>
                <c:pt idx="75">
                  <c:v>-57.276671102859645</c:v>
                </c:pt>
                <c:pt idx="76">
                  <c:v>-57.622819517067335</c:v>
                </c:pt>
                <c:pt idx="77">
                  <c:v>-57.965685403334426</c:v>
                </c:pt>
                <c:pt idx="78">
                  <c:v>-58.305234286336628</c:v>
                </c:pt>
                <c:pt idx="79">
                  <c:v>-58.641442997858668</c:v>
                </c:pt>
                <c:pt idx="80">
                  <c:v>-58.974298334483663</c:v>
                </c:pt>
                <c:pt idx="81">
                  <c:v>-59.303795844502545</c:v>
                </c:pt>
                <c:pt idx="82">
                  <c:v>-59.62993873520724</c:v>
                </c:pt>
                <c:pt idx="83">
                  <c:v>-59.952736891482971</c:v>
                </c:pt>
                <c:pt idx="84">
                  <c:v>-60.272205996644566</c:v>
                </c:pt>
                <c:pt idx="85">
                  <c:v>-60.588366746706761</c:v>
                </c:pt>
                <c:pt idx="86">
                  <c:v>-60.901244149646871</c:v>
                </c:pt>
                <c:pt idx="87">
                  <c:v>-61.210866901694374</c:v>
                </c:pt>
                <c:pt idx="88">
                  <c:v>-61.517266833194441</c:v>
                </c:pt>
                <c:pt idx="89">
                  <c:v>-61.820478417142823</c:v>
                </c:pt>
                <c:pt idx="90">
                  <c:v>-62.120538334035317</c:v>
                </c:pt>
                <c:pt idx="91">
                  <c:v>-62.417485087215432</c:v>
                </c:pt>
                <c:pt idx="92">
                  <c:v>-62.711358663421677</c:v>
                </c:pt>
                <c:pt idx="93">
                  <c:v>-63.002200233726875</c:v>
                </c:pt>
                <c:pt idx="94">
                  <c:v>-63.290051890523806</c:v>
                </c:pt>
                <c:pt idx="95">
                  <c:v>-63.574956416637036</c:v>
                </c:pt>
                <c:pt idx="96">
                  <c:v>-63.856957083036583</c:v>
                </c:pt>
                <c:pt idx="97">
                  <c:v>-64.136097471988023</c:v>
                </c:pt>
                <c:pt idx="98">
                  <c:v>-64.412421322806125</c:v>
                </c:pt>
                <c:pt idx="99">
                  <c:v>-64.685972397671975</c:v>
                </c:pt>
              </c:numCache>
            </c:numRef>
          </c:yVal>
          <c:smooth val="1"/>
        </c:ser>
        <c:axId val="149279872"/>
        <c:axId val="149282176"/>
      </c:scatterChart>
      <c:scatterChart>
        <c:scatterStyle val="lineMarker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4.7566029606774691</c:v>
                </c:pt>
                <c:pt idx="1">
                  <c:v>33.746298130251205</c:v>
                </c:pt>
                <c:pt idx="2">
                  <c:v>66.193827914367205</c:v>
                </c:pt>
                <c:pt idx="3">
                  <c:v>73.378305754245957</c:v>
                </c:pt>
                <c:pt idx="4">
                  <c:v>78.056746752208582</c:v>
                </c:pt>
                <c:pt idx="5">
                  <c:v>81.184490711750271</c:v>
                </c:pt>
                <c:pt idx="6">
                  <c:v>83.25356804835333</c:v>
                </c:pt>
                <c:pt idx="7">
                  <c:v>84.549126397951085</c:v>
                </c:pt>
                <c:pt idx="8">
                  <c:v>85.25440202584592</c:v>
                </c:pt>
                <c:pt idx="9">
                  <c:v>85.496820012176883</c:v>
                </c:pt>
                <c:pt idx="10">
                  <c:v>85.369909532972727</c:v>
                </c:pt>
                <c:pt idx="11">
                  <c:v>84.944671138527553</c:v>
                </c:pt>
                <c:pt idx="12">
                  <c:v>84.276056597644441</c:v>
                </c:pt>
                <c:pt idx="13">
                  <c:v>83.407026156862116</c:v>
                </c:pt>
                <c:pt idx="14">
                  <c:v>82.371306025571855</c:v>
                </c:pt>
                <c:pt idx="15">
                  <c:v>81.195383780463175</c:v>
                </c:pt>
                <c:pt idx="16">
                  <c:v>79.900015740266738</c:v>
                </c:pt>
                <c:pt idx="17">
                  <c:v>78.501397325998539</c:v>
                </c:pt>
                <c:pt idx="18">
                  <c:v>77.012087376694879</c:v>
                </c:pt>
                <c:pt idx="19">
                  <c:v>75.441746243717859</c:v>
                </c:pt>
                <c:pt idx="20">
                  <c:v>73.797729996329309</c:v>
                </c:pt>
                <c:pt idx="21">
                  <c:v>72.08557231348324</c:v>
                </c:pt>
                <c:pt idx="22">
                  <c:v>70.30937840577657</c:v>
                </c:pt>
                <c:pt idx="23">
                  <c:v>68.472150079669717</c:v>
                </c:pt>
                <c:pt idx="24">
                  <c:v>66.576057060449287</c:v>
                </c:pt>
                <c:pt idx="25">
                  <c:v>64.622666521248874</c:v>
                </c:pt>
                <c:pt idx="26">
                  <c:v>62.613140180920453</c:v>
                </c:pt>
                <c:pt idx="27">
                  <c:v>60.548406176021672</c:v>
                </c:pt>
                <c:pt idx="28">
                  <c:v>58.429311071552888</c:v>
                </c:pt>
                <c:pt idx="29">
                  <c:v>56.256755772547962</c:v>
                </c:pt>
                <c:pt idx="30">
                  <c:v>54.031817680830585</c:v>
                </c:pt>
                <c:pt idx="31">
                  <c:v>51.755860178013222</c:v>
                </c:pt>
                <c:pt idx="32">
                  <c:v>49.430629399889369</c:v>
                </c:pt>
                <c:pt idx="33">
                  <c:v>47.058337313599822</c:v>
                </c:pt>
                <c:pt idx="34">
                  <c:v>44.641729352034787</c:v>
                </c:pt>
                <c:pt idx="35">
                  <c:v>42.184134349272654</c:v>
                </c:pt>
                <c:pt idx="36">
                  <c:v>39.68949431223777</c:v>
                </c:pt>
                <c:pt idx="37">
                  <c:v>37.162371707150783</c:v>
                </c:pt>
                <c:pt idx="38">
                  <c:v>34.607932464630437</c:v>
                </c:pt>
                <c:pt idx="39">
                  <c:v>32.031903809385938</c:v>
                </c:pt>
                <c:pt idx="40">
                  <c:v>29.440507247769688</c:v>
                </c:pt>
                <c:pt idx="41">
                  <c:v>26.840368496191189</c:v>
                </c:pt>
                <c:pt idx="42">
                  <c:v>24.23840765662905</c:v>
                </c:pt>
                <c:pt idx="43">
                  <c:v>21.64171436375787</c:v>
                </c:pt>
                <c:pt idx="44">
                  <c:v>19.057413759394024</c:v>
                </c:pt>
                <c:pt idx="45">
                  <c:v>16.492529838836163</c:v>
                </c:pt>
                <c:pt idx="46">
                  <c:v>13.953852860495317</c:v>
                </c:pt>
                <c:pt idx="47">
                  <c:v>11.44781708965138</c:v>
                </c:pt>
                <c:pt idx="48">
                  <c:v>8.9803942131688927</c:v>
                </c:pt>
                <c:pt idx="49">
                  <c:v>6.5570064367782948</c:v>
                </c:pt>
                <c:pt idx="50">
                  <c:v>4.1824617267631652</c:v>
                </c:pt>
                <c:pt idx="51">
                  <c:v>1.8609120645573682</c:v>
                </c:pt>
                <c:pt idx="52">
                  <c:v>-0.40416588878167659</c:v>
                </c:pt>
                <c:pt idx="53">
                  <c:v>-2.6099695438333015</c:v>
                </c:pt>
                <c:pt idx="54">
                  <c:v>-4.7543512724571997</c:v>
                </c:pt>
                <c:pt idx="55">
                  <c:v>-6.8357847052893703</c:v>
                </c:pt>
                <c:pt idx="56">
                  <c:v>-8.8533199227290424</c:v>
                </c:pt>
                <c:pt idx="57">
                  <c:v>-10.806530961758313</c:v>
                </c:pt>
                <c:pt idx="58">
                  <c:v>-12.6954587864102</c:v>
                </c:pt>
                <c:pt idx="59">
                  <c:v>-14.520552456383143</c:v>
                </c:pt>
                <c:pt idx="60">
                  <c:v>-16.282610743006842</c:v>
                </c:pt>
                <c:pt idx="61">
                  <c:v>-17.982725939609509</c:v>
                </c:pt>
                <c:pt idx="62">
                  <c:v>-19.622231135263689</c:v>
                </c:pt>
                <c:pt idx="63">
                  <c:v>-21.202651793656969</c:v>
                </c:pt>
                <c:pt idx="64">
                  <c:v>-22.725662116908325</c:v>
                </c:pt>
                <c:pt idx="65">
                  <c:v>-24.193046382285161</c:v>
                </c:pt>
                <c:pt idx="66">
                  <c:v>-25.606665215780254</c:v>
                </c:pt>
                <c:pt idx="67">
                  <c:v>-26.968426603889952</c:v>
                </c:pt>
                <c:pt idx="68">
                  <c:v>-28.280261334841327</c:v>
                </c:pt>
                <c:pt idx="69">
                  <c:v>-29.544102493379114</c:v>
                </c:pt>
                <c:pt idx="70">
                  <c:v>-30.761868599752802</c:v>
                </c:pt>
                <c:pt idx="71">
                  <c:v>-31.935449975305005</c:v>
                </c:pt>
                <c:pt idx="72">
                  <c:v>-33.066697926909171</c:v>
                </c:pt>
                <c:pt idx="73">
                  <c:v>-34.157416364516337</c:v>
                </c:pt>
                <c:pt idx="74">
                  <c:v>-35.209355495600278</c:v>
                </c:pt>
                <c:pt idx="75">
                  <c:v>-36.224207273819616</c:v>
                </c:pt>
                <c:pt idx="76">
                  <c:v>-37.203602314139971</c:v>
                </c:pt>
                <c:pt idx="77">
                  <c:v>-38.149108021167649</c:v>
                </c:pt>
                <c:pt idx="78">
                  <c:v>-39.06222771032094</c:v>
                </c:pt>
                <c:pt idx="79">
                  <c:v>-39.944400531982581</c:v>
                </c:pt>
                <c:pt idx="80">
                  <c:v>-40.797002036509866</c:v>
                </c:pt>
                <c:pt idx="81">
                  <c:v>-41.621345242803272</c:v>
                </c:pt>
                <c:pt idx="82">
                  <c:v>-42.418682095041902</c:v>
                </c:pt>
                <c:pt idx="83">
                  <c:v>-43.190205211332682</c:v>
                </c:pt>
                <c:pt idx="84">
                  <c:v>-43.937049844578951</c:v>
                </c:pt>
                <c:pt idx="85">
                  <c:v>-44.660295990078964</c:v>
                </c:pt>
                <c:pt idx="86">
                  <c:v>-45.360970586472092</c:v>
                </c:pt>
                <c:pt idx="87">
                  <c:v>-46.040049766899472</c:v>
                </c:pt>
                <c:pt idx="88">
                  <c:v>-46.698461125868448</c:v>
                </c:pt>
                <c:pt idx="89">
                  <c:v>-47.337085974522552</c:v>
                </c:pt>
                <c:pt idx="90">
                  <c:v>-47.956761563029943</c:v>
                </c:pt>
                <c:pt idx="91">
                  <c:v>-48.558283253765353</c:v>
                </c:pt>
                <c:pt idx="92">
                  <c:v>-49.142406633059238</c:v>
                </c:pt>
                <c:pt idx="93">
                  <c:v>-49.70984955263134</c:v>
                </c:pt>
                <c:pt idx="94">
                  <c:v>-50.261294094549669</c:v>
                </c:pt>
                <c:pt idx="95">
                  <c:v>-50.797388455760824</c:v>
                </c:pt>
                <c:pt idx="96">
                  <c:v>-51.318748749997042</c:v>
                </c:pt>
                <c:pt idx="97">
                  <c:v>-51.825960726268818</c:v>
                </c:pt>
                <c:pt idx="98">
                  <c:v>-52.319581404253086</c:v>
                </c:pt>
                <c:pt idx="99">
                  <c:v>-52.800140627743758</c:v>
                </c:pt>
              </c:numCache>
            </c:numRef>
          </c:yVal>
        </c:ser>
        <c:axId val="147731968"/>
        <c:axId val="147733504"/>
      </c:scatterChart>
      <c:valAx>
        <c:axId val="149279872"/>
        <c:scaling>
          <c:logBase val="10"/>
          <c:orientation val="minMax"/>
          <c:min val="1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en-US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506878078596388"/>
              <c:y val="0.926097967546204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49282176"/>
        <c:crossesAt val="-80"/>
        <c:crossBetween val="midCat"/>
      </c:valAx>
      <c:valAx>
        <c:axId val="149282176"/>
        <c:scaling>
          <c:orientation val="minMax"/>
          <c:max val="80"/>
          <c:min val="-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en-US"/>
                  <a:t>Gain in dB</a:t>
                </a:r>
              </a:p>
            </c:rich>
          </c:tx>
          <c:layout>
            <c:manualLayout>
              <c:xMode val="edge"/>
              <c:yMode val="edge"/>
              <c:x val="1.643835616438356E-2"/>
              <c:y val="0.392610184696890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49279872"/>
        <c:crosses val="autoZero"/>
        <c:crossBetween val="midCat"/>
      </c:valAx>
      <c:valAx>
        <c:axId val="147731968"/>
        <c:scaling>
          <c:logBase val="10"/>
          <c:orientation val="minMax"/>
        </c:scaling>
        <c:delete val="1"/>
        <c:axPos val="b"/>
        <c:numFmt formatCode="General" sourceLinked="1"/>
        <c:tickLblPos val="nextTo"/>
        <c:crossAx val="147733504"/>
        <c:crosses val="autoZero"/>
        <c:crossBetween val="midCat"/>
      </c:valAx>
      <c:valAx>
        <c:axId val="147733504"/>
        <c:scaling>
          <c:orientation val="minMax"/>
          <c:max val="180"/>
          <c:min val="-180"/>
        </c:scaling>
        <c:axPos val="r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en-US"/>
                  <a:t>Phase in Degrees</a:t>
                </a:r>
              </a:p>
            </c:rich>
          </c:tx>
          <c:layout>
            <c:manualLayout>
              <c:xMode val="edge"/>
              <c:yMode val="edge"/>
              <c:x val="0.94794578075000901"/>
              <c:y val="0.334873464142618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47731968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38028099070196"/>
          <c:y val="0.70895667702064935"/>
          <c:w val="0.13099050047950653"/>
          <c:h val="0.113806203416472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Tv(f) Frequency Response</a:t>
            </a:r>
          </a:p>
        </c:rich>
      </c:tx>
      <c:layout>
        <c:manualLayout>
          <c:xMode val="edge"/>
          <c:yMode val="edge"/>
          <c:x val="0.32948963751853932"/>
          <c:y val="3.31632653061224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69234140009699"/>
          <c:y val="0.12753036437246984"/>
          <c:w val="0.79102588861737855"/>
          <c:h val="0.72672064777328005"/>
        </c:manualLayout>
      </c:layout>
      <c:scatterChart>
        <c:scatterStyle val="smoothMarker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25.418228120725523</c:v>
                </c:pt>
                <c:pt idx="1">
                  <c:v>-13.118802522426957</c:v>
                </c:pt>
                <c:pt idx="2">
                  <c:v>-26.808777361853558</c:v>
                </c:pt>
                <c:pt idx="3">
                  <c:v>-29.541349435367103</c:v>
                </c:pt>
                <c:pt idx="4">
                  <c:v>-31.45827712346253</c:v>
                </c:pt>
                <c:pt idx="5">
                  <c:v>-32.901687343686604</c:v>
                </c:pt>
                <c:pt idx="6">
                  <c:v>-34.039778057820499</c:v>
                </c:pt>
                <c:pt idx="7">
                  <c:v>-34.967991142233693</c:v>
                </c:pt>
                <c:pt idx="8">
                  <c:v>-35.745708046131391</c:v>
                </c:pt>
                <c:pt idx="9">
                  <c:v>-36.412138146441421</c:v>
                </c:pt>
                <c:pt idx="10">
                  <c:v>-36.994212625207126</c:v>
                </c:pt>
                <c:pt idx="11">
                  <c:v>-37.510946578007847</c:v>
                </c:pt>
                <c:pt idx="12">
                  <c:v>-37.97604928902998</c:v>
                </c:pt>
                <c:pt idx="13">
                  <c:v>-38.399578711064301</c:v>
                </c:pt>
                <c:pt idx="14">
                  <c:v>-38.789033651279986</c:v>
                </c:pt>
                <c:pt idx="15">
                  <c:v>-39.150095770134229</c:v>
                </c:pt>
                <c:pt idx="16">
                  <c:v>-39.487144227746484</c:v>
                </c:pt>
                <c:pt idx="17">
                  <c:v>-39.803618245078937</c:v>
                </c:pt>
                <c:pt idx="18">
                  <c:v>-40.102275705205486</c:v>
                </c:pt>
                <c:pt idx="19">
                  <c:v>-40.385379539113416</c:v>
                </c:pt>
                <c:pt idx="20">
                  <c:v>-40.654833310617263</c:v>
                </c:pt>
                <c:pt idx="21">
                  <c:v>-40.912280679548545</c:v>
                </c:pt>
                <c:pt idx="22">
                  <c:v>-41.159178918400379</c:v>
                </c:pt>
                <c:pt idx="23">
                  <c:v>-41.396853587005879</c:v>
                </c:pt>
                <c:pt idx="24">
                  <c:v>-41.626539344416038</c:v>
                </c:pt>
                <c:pt idx="25">
                  <c:v>-41.849410387876119</c:v>
                </c:pt>
                <c:pt idx="26">
                  <c:v>-42.066602955142983</c:v>
                </c:pt>
                <c:pt idx="27">
                  <c:v>-42.279231576089067</c:v>
                </c:pt>
                <c:pt idx="28">
                  <c:v>-42.488400224642866</c:v>
                </c:pt>
                <c:pt idx="29">
                  <c:v>-42.695209144122437</c:v>
                </c:pt>
                <c:pt idx="30">
                  <c:v>-42.900757859206891</c:v>
                </c:pt>
                <c:pt idx="31">
                  <c:v>-43.106144720828667</c:v>
                </c:pt>
                <c:pt idx="32">
                  <c:v>-43.312463239420097</c:v>
                </c:pt>
                <c:pt idx="33">
                  <c:v>-43.520795435636678</c:v>
                </c:pt>
                <c:pt idx="34">
                  <c:v>-43.7322024665105</c:v>
                </c:pt>
                <c:pt idx="35">
                  <c:v>-43.947712859427071</c:v>
                </c:pt>
                <c:pt idx="36">
                  <c:v>-44.168308794831702</c:v>
                </c:pt>
                <c:pt idx="37">
                  <c:v>-44.394911006428892</c:v>
                </c:pt>
                <c:pt idx="38">
                  <c:v>-44.628362996754007</c:v>
                </c:pt>
                <c:pt idx="39">
                  <c:v>-44.869415375733873</c:v>
                </c:pt>
                <c:pt idx="40">
                  <c:v>-45.118711199147263</c:v>
                </c:pt>
                <c:pt idx="41">
                  <c:v>-45.376773194229528</c:v>
                </c:pt>
                <c:pt idx="42">
                  <c:v>-45.64399369851639</c:v>
                </c:pt>
                <c:pt idx="43">
                  <c:v>-45.920628001851711</c:v>
                </c:pt>
                <c:pt idx="44">
                  <c:v>-46.20679157759848</c:v>
                </c:pt>
                <c:pt idx="45">
                  <c:v>-46.502461435381321</c:v>
                </c:pt>
                <c:pt idx="46">
                  <c:v>-46.807481550378284</c:v>
                </c:pt>
                <c:pt idx="47">
                  <c:v>-47.121572053576067</c:v>
                </c:pt>
                <c:pt idx="48">
                  <c:v>-47.444341632865196</c:v>
                </c:pt>
                <c:pt idx="49">
                  <c:v>-47.775302419844522</c:v>
                </c:pt>
                <c:pt idx="50">
                  <c:v>-48.113886535894686</c:v>
                </c:pt>
                <c:pt idx="51">
                  <c:v>-48.459463446755478</c:v>
                </c:pt>
                <c:pt idx="52">
                  <c:v>-48.81135732074506</c:v>
                </c:pt>
                <c:pt idx="53">
                  <c:v>-49.168863687432008</c:v>
                </c:pt>
                <c:pt idx="54">
                  <c:v>-49.531264832278488</c:v>
                </c:pt>
                <c:pt idx="55">
                  <c:v>-49.89784351899948</c:v>
                </c:pt>
                <c:pt idx="56">
                  <c:v>-50.267894787587039</c:v>
                </c:pt>
                <c:pt idx="57">
                  <c:v>-50.640735718556826</c:v>
                </c:pt>
                <c:pt idx="58">
                  <c:v>-51.01571317401465</c:v>
                </c:pt>
                <c:pt idx="59">
                  <c:v>-51.392209619231402</c:v>
                </c:pt>
                <c:pt idx="60">
                  <c:v>-51.769647193938191</c:v>
                </c:pt>
                <c:pt idx="61">
                  <c:v>-52.147490242677968</c:v>
                </c:pt>
                <c:pt idx="62">
                  <c:v>-52.525246532108611</c:v>
                </c:pt>
                <c:pt idx="63">
                  <c:v>-52.902467384743503</c:v>
                </c:pt>
                <c:pt idx="64">
                  <c:v>-53.278746947864171</c:v>
                </c:pt>
                <c:pt idx="65">
                  <c:v>-53.653720797457609</c:v>
                </c:pt>
                <c:pt idx="66">
                  <c:v>-54.027064053521549</c:v>
                </c:pt>
                <c:pt idx="67">
                  <c:v>-54.398489157706187</c:v>
                </c:pt>
                <c:pt idx="68">
                  <c:v>-54.767743439015142</c:v>
                </c:pt>
                <c:pt idx="69">
                  <c:v>-55.134606569513103</c:v>
                </c:pt>
                <c:pt idx="70">
                  <c:v>-55.49888799051007</c:v>
                </c:pt>
                <c:pt idx="71">
                  <c:v>-55.860424370890691</c:v>
                </c:pt>
                <c:pt idx="72">
                  <c:v>-56.219077143263505</c:v>
                </c:pt>
                <c:pt idx="73">
                  <c:v>-56.57473015030557</c:v>
                </c:pt>
                <c:pt idx="74">
                  <c:v>-56.927287422874201</c:v>
                </c:pt>
                <c:pt idx="75">
                  <c:v>-57.276671102859645</c:v>
                </c:pt>
                <c:pt idx="76">
                  <c:v>-57.622819517067335</c:v>
                </c:pt>
                <c:pt idx="77">
                  <c:v>-57.965685403334426</c:v>
                </c:pt>
                <c:pt idx="78">
                  <c:v>-58.305234286336628</c:v>
                </c:pt>
                <c:pt idx="79">
                  <c:v>-58.641442997858668</c:v>
                </c:pt>
                <c:pt idx="80">
                  <c:v>-58.974298334483663</c:v>
                </c:pt>
                <c:pt idx="81">
                  <c:v>-59.303795844502545</c:v>
                </c:pt>
                <c:pt idx="82">
                  <c:v>-59.62993873520724</c:v>
                </c:pt>
                <c:pt idx="83">
                  <c:v>-59.952736891482971</c:v>
                </c:pt>
                <c:pt idx="84">
                  <c:v>-60.272205996644566</c:v>
                </c:pt>
                <c:pt idx="85">
                  <c:v>-60.588366746706761</c:v>
                </c:pt>
                <c:pt idx="86">
                  <c:v>-60.901244149646871</c:v>
                </c:pt>
                <c:pt idx="87">
                  <c:v>-61.210866901694374</c:v>
                </c:pt>
                <c:pt idx="88">
                  <c:v>-61.517266833194441</c:v>
                </c:pt>
                <c:pt idx="89">
                  <c:v>-61.820478417142823</c:v>
                </c:pt>
                <c:pt idx="90">
                  <c:v>-62.120538334035317</c:v>
                </c:pt>
                <c:pt idx="91">
                  <c:v>-62.417485087215432</c:v>
                </c:pt>
                <c:pt idx="92">
                  <c:v>-62.711358663421677</c:v>
                </c:pt>
                <c:pt idx="93">
                  <c:v>-63.002200233726875</c:v>
                </c:pt>
                <c:pt idx="94">
                  <c:v>-63.290051890523806</c:v>
                </c:pt>
                <c:pt idx="95">
                  <c:v>-63.574956416637036</c:v>
                </c:pt>
                <c:pt idx="96">
                  <c:v>-63.856957083036583</c:v>
                </c:pt>
                <c:pt idx="97">
                  <c:v>-64.136097471988023</c:v>
                </c:pt>
                <c:pt idx="98">
                  <c:v>-64.412421322806125</c:v>
                </c:pt>
                <c:pt idx="99">
                  <c:v>-64.685972397671975</c:v>
                </c:pt>
              </c:numCache>
            </c:numRef>
          </c:yVal>
          <c:smooth val="1"/>
        </c:ser>
        <c:axId val="158335744"/>
        <c:axId val="158337664"/>
      </c:scatterChart>
      <c:scatterChart>
        <c:scatterStyle val="lineMarker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4.7566029606774691</c:v>
                </c:pt>
                <c:pt idx="1">
                  <c:v>33.746298130251205</c:v>
                </c:pt>
                <c:pt idx="2">
                  <c:v>66.193827914367205</c:v>
                </c:pt>
                <c:pt idx="3">
                  <c:v>73.378305754245957</c:v>
                </c:pt>
                <c:pt idx="4">
                  <c:v>78.056746752208582</c:v>
                </c:pt>
                <c:pt idx="5">
                  <c:v>81.184490711750271</c:v>
                </c:pt>
                <c:pt idx="6">
                  <c:v>83.25356804835333</c:v>
                </c:pt>
                <c:pt idx="7">
                  <c:v>84.549126397951085</c:v>
                </c:pt>
                <c:pt idx="8">
                  <c:v>85.25440202584592</c:v>
                </c:pt>
                <c:pt idx="9">
                  <c:v>85.496820012176883</c:v>
                </c:pt>
                <c:pt idx="10">
                  <c:v>85.369909532972727</c:v>
                </c:pt>
                <c:pt idx="11">
                  <c:v>84.944671138527553</c:v>
                </c:pt>
                <c:pt idx="12">
                  <c:v>84.276056597644441</c:v>
                </c:pt>
                <c:pt idx="13">
                  <c:v>83.407026156862116</c:v>
                </c:pt>
                <c:pt idx="14">
                  <c:v>82.371306025571855</c:v>
                </c:pt>
                <c:pt idx="15">
                  <c:v>81.195383780463175</c:v>
                </c:pt>
                <c:pt idx="16">
                  <c:v>79.900015740266738</c:v>
                </c:pt>
                <c:pt idx="17">
                  <c:v>78.501397325998539</c:v>
                </c:pt>
                <c:pt idx="18">
                  <c:v>77.012087376694879</c:v>
                </c:pt>
                <c:pt idx="19">
                  <c:v>75.441746243717859</c:v>
                </c:pt>
                <c:pt idx="20">
                  <c:v>73.797729996329309</c:v>
                </c:pt>
                <c:pt idx="21">
                  <c:v>72.08557231348324</c:v>
                </c:pt>
                <c:pt idx="22">
                  <c:v>70.30937840577657</c:v>
                </c:pt>
                <c:pt idx="23">
                  <c:v>68.472150079669717</c:v>
                </c:pt>
                <c:pt idx="24">
                  <c:v>66.576057060449287</c:v>
                </c:pt>
                <c:pt idx="25">
                  <c:v>64.622666521248874</c:v>
                </c:pt>
                <c:pt idx="26">
                  <c:v>62.613140180920453</c:v>
                </c:pt>
                <c:pt idx="27">
                  <c:v>60.548406176021672</c:v>
                </c:pt>
                <c:pt idx="28">
                  <c:v>58.429311071552888</c:v>
                </c:pt>
                <c:pt idx="29">
                  <c:v>56.256755772547962</c:v>
                </c:pt>
                <c:pt idx="30">
                  <c:v>54.031817680830585</c:v>
                </c:pt>
                <c:pt idx="31">
                  <c:v>51.755860178013222</c:v>
                </c:pt>
                <c:pt idx="32">
                  <c:v>49.430629399889369</c:v>
                </c:pt>
                <c:pt idx="33">
                  <c:v>47.058337313599822</c:v>
                </c:pt>
                <c:pt idx="34">
                  <c:v>44.641729352034787</c:v>
                </c:pt>
                <c:pt idx="35">
                  <c:v>42.184134349272654</c:v>
                </c:pt>
                <c:pt idx="36">
                  <c:v>39.68949431223777</c:v>
                </c:pt>
                <c:pt idx="37">
                  <c:v>37.162371707150783</c:v>
                </c:pt>
                <c:pt idx="38">
                  <c:v>34.607932464630437</c:v>
                </c:pt>
                <c:pt idx="39">
                  <c:v>32.031903809385938</c:v>
                </c:pt>
                <c:pt idx="40">
                  <c:v>29.440507247769688</c:v>
                </c:pt>
                <c:pt idx="41">
                  <c:v>26.840368496191189</c:v>
                </c:pt>
                <c:pt idx="42">
                  <c:v>24.23840765662905</c:v>
                </c:pt>
                <c:pt idx="43">
                  <c:v>21.64171436375787</c:v>
                </c:pt>
                <c:pt idx="44">
                  <c:v>19.057413759394024</c:v>
                </c:pt>
                <c:pt idx="45">
                  <c:v>16.492529838836163</c:v>
                </c:pt>
                <c:pt idx="46">
                  <c:v>13.953852860495317</c:v>
                </c:pt>
                <c:pt idx="47">
                  <c:v>11.44781708965138</c:v>
                </c:pt>
                <c:pt idx="48">
                  <c:v>8.9803942131688927</c:v>
                </c:pt>
                <c:pt idx="49">
                  <c:v>6.5570064367782948</c:v>
                </c:pt>
                <c:pt idx="50">
                  <c:v>4.1824617267631652</c:v>
                </c:pt>
                <c:pt idx="51">
                  <c:v>1.8609120645573682</c:v>
                </c:pt>
                <c:pt idx="52">
                  <c:v>-0.40416588878167659</c:v>
                </c:pt>
                <c:pt idx="53">
                  <c:v>-2.6099695438333015</c:v>
                </c:pt>
                <c:pt idx="54">
                  <c:v>-4.7543512724571997</c:v>
                </c:pt>
                <c:pt idx="55">
                  <c:v>-6.8357847052893703</c:v>
                </c:pt>
                <c:pt idx="56">
                  <c:v>-8.8533199227290424</c:v>
                </c:pt>
                <c:pt idx="57">
                  <c:v>-10.806530961758313</c:v>
                </c:pt>
                <c:pt idx="58">
                  <c:v>-12.6954587864102</c:v>
                </c:pt>
                <c:pt idx="59">
                  <c:v>-14.520552456383143</c:v>
                </c:pt>
                <c:pt idx="60">
                  <c:v>-16.282610743006842</c:v>
                </c:pt>
                <c:pt idx="61">
                  <c:v>-17.982725939609509</c:v>
                </c:pt>
                <c:pt idx="62">
                  <c:v>-19.622231135263689</c:v>
                </c:pt>
                <c:pt idx="63">
                  <c:v>-21.202651793656969</c:v>
                </c:pt>
                <c:pt idx="64">
                  <c:v>-22.725662116908325</c:v>
                </c:pt>
                <c:pt idx="65">
                  <c:v>-24.193046382285161</c:v>
                </c:pt>
                <c:pt idx="66">
                  <c:v>-25.606665215780254</c:v>
                </c:pt>
                <c:pt idx="67">
                  <c:v>-26.968426603889952</c:v>
                </c:pt>
                <c:pt idx="68">
                  <c:v>-28.280261334841327</c:v>
                </c:pt>
                <c:pt idx="69">
                  <c:v>-29.544102493379114</c:v>
                </c:pt>
                <c:pt idx="70">
                  <c:v>-30.761868599752802</c:v>
                </c:pt>
                <c:pt idx="71">
                  <c:v>-31.935449975305005</c:v>
                </c:pt>
                <c:pt idx="72">
                  <c:v>-33.066697926909171</c:v>
                </c:pt>
                <c:pt idx="73">
                  <c:v>-34.157416364516337</c:v>
                </c:pt>
                <c:pt idx="74">
                  <c:v>-35.209355495600278</c:v>
                </c:pt>
                <c:pt idx="75">
                  <c:v>-36.224207273819616</c:v>
                </c:pt>
                <c:pt idx="76">
                  <c:v>-37.203602314139971</c:v>
                </c:pt>
                <c:pt idx="77">
                  <c:v>-38.149108021167649</c:v>
                </c:pt>
                <c:pt idx="78">
                  <c:v>-39.06222771032094</c:v>
                </c:pt>
                <c:pt idx="79">
                  <c:v>-39.944400531982581</c:v>
                </c:pt>
                <c:pt idx="80">
                  <c:v>-40.797002036509866</c:v>
                </c:pt>
                <c:pt idx="81">
                  <c:v>-41.621345242803272</c:v>
                </c:pt>
                <c:pt idx="82">
                  <c:v>-42.418682095041902</c:v>
                </c:pt>
                <c:pt idx="83">
                  <c:v>-43.190205211332682</c:v>
                </c:pt>
                <c:pt idx="84">
                  <c:v>-43.937049844578951</c:v>
                </c:pt>
                <c:pt idx="85">
                  <c:v>-44.660295990078964</c:v>
                </c:pt>
                <c:pt idx="86">
                  <c:v>-45.360970586472092</c:v>
                </c:pt>
                <c:pt idx="87">
                  <c:v>-46.040049766899472</c:v>
                </c:pt>
                <c:pt idx="88">
                  <c:v>-46.698461125868448</c:v>
                </c:pt>
                <c:pt idx="89">
                  <c:v>-47.337085974522552</c:v>
                </c:pt>
                <c:pt idx="90">
                  <c:v>-47.956761563029943</c:v>
                </c:pt>
                <c:pt idx="91">
                  <c:v>-48.558283253765353</c:v>
                </c:pt>
                <c:pt idx="92">
                  <c:v>-49.142406633059238</c:v>
                </c:pt>
                <c:pt idx="93">
                  <c:v>-49.70984955263134</c:v>
                </c:pt>
                <c:pt idx="94">
                  <c:v>-50.261294094549669</c:v>
                </c:pt>
                <c:pt idx="95">
                  <c:v>-50.797388455760824</c:v>
                </c:pt>
                <c:pt idx="96">
                  <c:v>-51.318748749997042</c:v>
                </c:pt>
                <c:pt idx="97">
                  <c:v>-51.825960726268818</c:v>
                </c:pt>
                <c:pt idx="98">
                  <c:v>-52.319581404253086</c:v>
                </c:pt>
                <c:pt idx="99">
                  <c:v>-52.800140627743758</c:v>
                </c:pt>
              </c:numCache>
            </c:numRef>
          </c:yVal>
        </c:ser>
        <c:axId val="158352128"/>
        <c:axId val="158353664"/>
      </c:scatterChart>
      <c:valAx>
        <c:axId val="158335744"/>
        <c:scaling>
          <c:logBase val="10"/>
          <c:orientation val="minMax"/>
          <c:min val="1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en-US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680429979201583"/>
              <c:y val="0.931122448979591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58337664"/>
        <c:crossesAt val="-80"/>
        <c:crossBetween val="midCat"/>
      </c:valAx>
      <c:valAx>
        <c:axId val="158337664"/>
        <c:scaling>
          <c:orientation val="minMax"/>
          <c:max val="80"/>
          <c:min val="-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en-US"/>
                  <a:t>Gain in dB</a:t>
                </a:r>
              </a:p>
            </c:rich>
          </c:tx>
          <c:layout>
            <c:manualLayout>
              <c:xMode val="edge"/>
              <c:yMode val="edge"/>
              <c:x val="1.97693574958814E-2"/>
              <c:y val="0.397959183673469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58335744"/>
        <c:crosses val="autoZero"/>
        <c:crossBetween val="midCat"/>
      </c:valAx>
      <c:valAx>
        <c:axId val="158352128"/>
        <c:scaling>
          <c:logBase val="10"/>
          <c:orientation val="minMax"/>
        </c:scaling>
        <c:delete val="1"/>
        <c:axPos val="b"/>
        <c:numFmt formatCode="General" sourceLinked="1"/>
        <c:tickLblPos val="nextTo"/>
        <c:crossAx val="158353664"/>
        <c:crosses val="autoZero"/>
        <c:crossBetween val="midCat"/>
      </c:valAx>
      <c:valAx>
        <c:axId val="158353664"/>
        <c:scaling>
          <c:orientation val="minMax"/>
          <c:max val="180"/>
          <c:min val="-180"/>
        </c:scaling>
        <c:axPos val="r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58352128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35901328344515"/>
          <c:y val="0.70445344129554666"/>
          <c:w val="0.15769235705014198"/>
          <c:h val="0.123481781376518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68580</xdr:rowOff>
    </xdr:from>
    <xdr:to>
      <xdr:col>12</xdr:col>
      <xdr:colOff>259080</xdr:colOff>
      <xdr:row>35</xdr:row>
      <xdr:rowOff>76200</xdr:rowOff>
    </xdr:to>
    <xdr:pic>
      <xdr:nvPicPr>
        <xdr:cNvPr id="4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" y="68580"/>
          <a:ext cx="7399020" cy="58750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151</xdr:row>
      <xdr:rowOff>38100</xdr:rowOff>
    </xdr:from>
    <xdr:to>
      <xdr:col>3</xdr:col>
      <xdr:colOff>716280</xdr:colOff>
      <xdr:row>171</xdr:row>
      <xdr:rowOff>160020</xdr:rowOff>
    </xdr:to>
    <xdr:graphicFrame macro="">
      <xdr:nvGraphicFramePr>
        <xdr:cNvPr id="107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8</xdr:col>
      <xdr:colOff>525780</xdr:colOff>
      <xdr:row>4</xdr:row>
      <xdr:rowOff>91440</xdr:rowOff>
    </xdr:to>
    <xdr:pic>
      <xdr:nvPicPr>
        <xdr:cNvPr id="5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0"/>
          <a:ext cx="5402580" cy="731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350520</xdr:colOff>
      <xdr:row>34</xdr:row>
      <xdr:rowOff>129540</xdr:rowOff>
    </xdr:to>
    <xdr:pic>
      <xdr:nvPicPr>
        <xdr:cNvPr id="61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17720" cy="5829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388620</xdr:colOff>
      <xdr:row>34</xdr:row>
      <xdr:rowOff>137160</xdr:rowOff>
    </xdr:to>
    <xdr:pic>
      <xdr:nvPicPr>
        <xdr:cNvPr id="72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55820" cy="5836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85</xdr:row>
      <xdr:rowOff>114300</xdr:rowOff>
    </xdr:from>
    <xdr:to>
      <xdr:col>7</xdr:col>
      <xdr:colOff>60960</xdr:colOff>
      <xdr:row>105</xdr:row>
      <xdr:rowOff>160020</xdr:rowOff>
    </xdr:to>
    <xdr:graphicFrame macro="">
      <xdr:nvGraphicFramePr>
        <xdr:cNvPr id="31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0799388/My%20Documents/Applications%20Information/UCC28070/Design%20Tool/UCC28070%20Design%20Tool%208%2015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sign Information"/>
      <sheetName val="Current Loop Calaculations"/>
      <sheetName val="Voltage Loop Calaclations"/>
    </sheetNames>
    <sheetDataSet>
      <sheetData sheetId="0">
        <row r="29">
          <cell r="C29">
            <v>2.4499999999999999E-4</v>
          </cell>
        </row>
        <row r="40">
          <cell r="C40">
            <v>50</v>
          </cell>
        </row>
        <row r="83">
          <cell r="C83">
            <v>4020</v>
          </cell>
        </row>
        <row r="85">
          <cell r="C85">
            <v>2.1999999999999998E-9</v>
          </cell>
        </row>
        <row r="87">
          <cell r="C87">
            <v>3.3E-10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R7" sqref="R7"/>
    </sheetView>
  </sheetViews>
  <sheetFormatPr defaultRowHeight="12.75"/>
  <sheetData>
    <row r="1" spans="1:14" ht="33.75">
      <c r="A1" s="109" t="s">
        <v>339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25.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25.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25.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>
      <c r="A7" s="1"/>
      <c r="B7" s="112" t="s">
        <v>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25.5">
      <c r="A8" s="1"/>
      <c r="B8" s="112" t="s">
        <v>4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25.5">
      <c r="A9" s="1"/>
      <c r="B9" s="112" t="s">
        <v>5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ht="25.5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5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5.5">
      <c r="A12" s="113" t="s">
        <v>296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25.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25.5">
      <c r="A14" s="113" t="s">
        <v>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4" ht="25.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45.75" customHeight="1">
      <c r="A16" s="113" t="s">
        <v>330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">
      <c r="A17" t="s">
        <v>19</v>
      </c>
    </row>
  </sheetData>
  <mergeCells count="11">
    <mergeCell ref="A14:N14"/>
    <mergeCell ref="A16:N16"/>
    <mergeCell ref="A5:N5"/>
    <mergeCell ref="B7:N7"/>
    <mergeCell ref="B8:N8"/>
    <mergeCell ref="B9:N9"/>
    <mergeCell ref="A1:N1"/>
    <mergeCell ref="A2:N2"/>
    <mergeCell ref="A3:N3"/>
    <mergeCell ref="A4:N4"/>
    <mergeCell ref="A12:N1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43"/>
  <sheetViews>
    <sheetView workbookViewId="0">
      <selection activeCell="N32" sqref="N32"/>
    </sheetView>
  </sheetViews>
  <sheetFormatPr defaultRowHeight="12.75"/>
  <sheetData>
    <row r="43" spans="4:4">
      <c r="D43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2"/>
  <sheetViews>
    <sheetView tabSelected="1" topLeftCell="A209" workbookViewId="0">
      <selection activeCell="C226" sqref="C226"/>
    </sheetView>
  </sheetViews>
  <sheetFormatPr defaultColWidth="9.140625" defaultRowHeight="15.75"/>
  <cols>
    <col min="1" max="1" width="66.140625" style="55" customWidth="1"/>
    <col min="2" max="2" width="15" style="55" customWidth="1"/>
    <col min="3" max="3" width="13.42578125" style="61" customWidth="1"/>
    <col min="4" max="5" width="11.5703125" style="55" customWidth="1"/>
    <col min="6" max="16384" width="9.140625" style="55"/>
  </cols>
  <sheetData>
    <row r="1" spans="1:8">
      <c r="A1" s="55" t="s">
        <v>337</v>
      </c>
    </row>
    <row r="2" spans="1:8">
      <c r="A2" s="55" t="s">
        <v>338</v>
      </c>
      <c r="B2" s="56">
        <v>43308</v>
      </c>
      <c r="H2" s="106"/>
    </row>
    <row r="3" spans="1:8">
      <c r="B3" s="56"/>
      <c r="H3" s="106"/>
    </row>
    <row r="4" spans="1:8">
      <c r="A4" s="81" t="s">
        <v>328</v>
      </c>
      <c r="B4" s="82"/>
      <c r="C4" s="94"/>
      <c r="D4" s="81"/>
      <c r="E4" s="81"/>
      <c r="F4" s="81"/>
    </row>
    <row r="5" spans="1:8">
      <c r="A5" s="81" t="s">
        <v>289</v>
      </c>
      <c r="B5" s="82"/>
      <c r="C5" s="94"/>
      <c r="D5" s="81"/>
      <c r="E5" s="81"/>
      <c r="F5" s="81"/>
    </row>
    <row r="6" spans="1:8">
      <c r="A6" s="86" t="s">
        <v>331</v>
      </c>
      <c r="B6" s="87"/>
      <c r="C6" s="95"/>
      <c r="D6" s="86"/>
      <c r="E6" s="86"/>
      <c r="F6" s="86"/>
    </row>
    <row r="7" spans="1:8">
      <c r="A7" s="88" t="s">
        <v>302</v>
      </c>
      <c r="B7" s="89"/>
      <c r="C7" s="96"/>
      <c r="D7" s="88"/>
      <c r="E7" s="88"/>
      <c r="F7" s="88"/>
    </row>
    <row r="8" spans="1:8" s="51" customFormat="1">
      <c r="A8" s="88" t="s">
        <v>301</v>
      </c>
      <c r="B8" s="89"/>
      <c r="C8" s="96"/>
      <c r="D8" s="88"/>
      <c r="E8" s="88"/>
      <c r="F8" s="88"/>
    </row>
    <row r="9" spans="1:8" s="51" customFormat="1">
      <c r="A9" s="88" t="s">
        <v>299</v>
      </c>
      <c r="B9" s="89"/>
      <c r="C9" s="96"/>
      <c r="D9" s="88"/>
      <c r="E9" s="88"/>
      <c r="F9" s="88"/>
    </row>
    <row r="10" spans="1:8" s="51" customFormat="1">
      <c r="A10" s="88" t="s">
        <v>300</v>
      </c>
      <c r="B10" s="89"/>
      <c r="C10" s="96"/>
      <c r="D10" s="88"/>
      <c r="E10" s="88"/>
      <c r="F10" s="88"/>
    </row>
    <row r="11" spans="1:8">
      <c r="A11" s="55" t="s">
        <v>8</v>
      </c>
    </row>
    <row r="12" spans="1:8">
      <c r="A12" s="55" t="s">
        <v>9</v>
      </c>
      <c r="B12" s="55" t="s">
        <v>10</v>
      </c>
      <c r="C12" s="61" t="s">
        <v>12</v>
      </c>
      <c r="D12" s="55" t="s">
        <v>11</v>
      </c>
      <c r="E12" s="55" t="s">
        <v>16</v>
      </c>
    </row>
    <row r="13" spans="1:8">
      <c r="A13" s="55" t="s">
        <v>13</v>
      </c>
      <c r="B13" s="52">
        <v>345</v>
      </c>
      <c r="C13" s="97">
        <v>390</v>
      </c>
      <c r="D13" s="52">
        <v>410</v>
      </c>
      <c r="E13" s="55" t="s">
        <v>17</v>
      </c>
      <c r="F13" s="90" t="str">
        <f>IF(VINMAX/VINMIN&gt;3,"Please Keep Input Voltage &lt; 3:1","")</f>
        <v/>
      </c>
    </row>
    <row r="14" spans="1:8">
      <c r="A14" s="55" t="s">
        <v>14</v>
      </c>
      <c r="B14" s="52">
        <v>28</v>
      </c>
      <c r="C14" s="97">
        <v>117</v>
      </c>
      <c r="D14" s="52">
        <v>120</v>
      </c>
      <c r="E14" s="55" t="s">
        <v>17</v>
      </c>
      <c r="F14" s="84" t="str">
        <f>IF(VOUT&lt;1.5,"The Minimum Output Voltage &gt; 1.5 V","")</f>
        <v/>
      </c>
      <c r="G14" s="51"/>
      <c r="H14" s="51"/>
    </row>
    <row r="15" spans="1:8" ht="31.5">
      <c r="A15" s="57" t="s">
        <v>15</v>
      </c>
      <c r="D15" s="52">
        <v>5</v>
      </c>
      <c r="E15" s="55" t="s">
        <v>17</v>
      </c>
      <c r="F15" s="84"/>
    </row>
    <row r="16" spans="1:8" ht="18.75">
      <c r="A16" s="57" t="s">
        <v>21</v>
      </c>
      <c r="D16" s="52">
        <v>1000</v>
      </c>
      <c r="E16" s="55" t="s">
        <v>18</v>
      </c>
    </row>
    <row r="17" spans="1:6">
      <c r="A17" s="55" t="s">
        <v>23</v>
      </c>
      <c r="B17" s="53">
        <v>0.96</v>
      </c>
      <c r="D17" s="55" t="s">
        <v>19</v>
      </c>
      <c r="F17" s="84" t="str">
        <f>IF(Eff&gt;96%,"Please be Realistic with Efficiency Goal","")</f>
        <v/>
      </c>
    </row>
    <row r="18" spans="1:6" ht="18.75">
      <c r="A18" s="55" t="s">
        <v>22</v>
      </c>
      <c r="C18" s="97">
        <v>200</v>
      </c>
      <c r="E18" s="55" t="s">
        <v>20</v>
      </c>
      <c r="F18" s="83" t="str">
        <f>IF(fs&gt;1000,"UCC28950 Can Only Achieve 1MHz Switching Frequency","")</f>
        <v/>
      </c>
    </row>
    <row r="19" spans="1:6">
      <c r="A19" s="58"/>
      <c r="B19" s="58"/>
      <c r="C19" s="98"/>
      <c r="D19" s="58"/>
      <c r="E19" s="58"/>
      <c r="F19" s="58"/>
    </row>
    <row r="20" spans="1:6">
      <c r="A20" s="80" t="s">
        <v>174</v>
      </c>
      <c r="B20" s="80"/>
      <c r="C20" s="99"/>
      <c r="D20" s="80"/>
      <c r="E20" s="80"/>
      <c r="F20" s="80"/>
    </row>
    <row r="21" spans="1:6">
      <c r="A21" s="55" t="s">
        <v>9</v>
      </c>
      <c r="B21" s="55" t="s">
        <v>27</v>
      </c>
      <c r="D21" s="55" t="s">
        <v>16</v>
      </c>
    </row>
    <row r="22" spans="1:6" ht="18.75">
      <c r="A22" s="55" t="s">
        <v>113</v>
      </c>
      <c r="B22" s="60" t="s">
        <v>24</v>
      </c>
      <c r="C22" s="61">
        <f>pout*(1-Eff)/Eff</f>
        <v>41.666666666666707</v>
      </c>
      <c r="D22" s="55" t="s">
        <v>18</v>
      </c>
    </row>
    <row r="23" spans="1:6" ht="18.75">
      <c r="A23" s="55" t="s">
        <v>114</v>
      </c>
      <c r="B23" s="55" t="s">
        <v>25</v>
      </c>
      <c r="C23" s="61">
        <v>0.3</v>
      </c>
      <c r="D23" s="55" t="s">
        <v>17</v>
      </c>
    </row>
    <row r="24" spans="1:6" ht="18.75">
      <c r="A24" s="55" t="s">
        <v>29</v>
      </c>
      <c r="B24" s="55" t="s">
        <v>31</v>
      </c>
      <c r="C24" s="61">
        <v>0.66</v>
      </c>
    </row>
    <row r="25" spans="1:6" ht="18.75">
      <c r="A25" s="55" t="s">
        <v>28</v>
      </c>
      <c r="B25" s="55" t="s">
        <v>26</v>
      </c>
      <c r="C25" s="61">
        <f>((VINMIN-2*vrdson)*dmax)/(VOUT+vrdson)</f>
        <v>1.9378005115089514</v>
      </c>
      <c r="D25" s="55" t="s">
        <v>19</v>
      </c>
      <c r="E25" s="55" t="s">
        <v>19</v>
      </c>
    </row>
    <row r="26" spans="1:6">
      <c r="A26" s="55" t="s">
        <v>303</v>
      </c>
      <c r="B26" s="55" t="s">
        <v>26</v>
      </c>
      <c r="C26" s="108">
        <v>2.8</v>
      </c>
    </row>
    <row r="27" spans="1:6" s="61" customFormat="1" ht="18.75">
      <c r="A27" s="61" t="s">
        <v>30</v>
      </c>
      <c r="B27" s="61" t="s">
        <v>32</v>
      </c>
      <c r="C27" s="61">
        <f>((VOUT+vrdson)*_taa1)/((vin-2*vrdson))</f>
        <v>0.84345146379044689</v>
      </c>
      <c r="D27" s="91" t="str">
        <f>IF(dtyp&gt;1,"Turns Ratio a1 in Error, Pleast Adjust","")</f>
        <v/>
      </c>
    </row>
    <row r="28" spans="1:6" ht="18.75">
      <c r="A28" s="55" t="s">
        <v>33</v>
      </c>
      <c r="B28" s="72" t="s">
        <v>243</v>
      </c>
      <c r="C28" s="61">
        <f>pout*0.2/VOUT</f>
        <v>1.7094017094017093</v>
      </c>
      <c r="D28" s="55" t="s">
        <v>34</v>
      </c>
    </row>
    <row r="29" spans="1:6" ht="18.75">
      <c r="A29" s="55" t="s">
        <v>262</v>
      </c>
      <c r="B29" s="55" t="s">
        <v>35</v>
      </c>
      <c r="C29" s="61">
        <f>(vin*(1-dtyp)*_taa1)/(dilout*0.5*fs)</f>
        <v>1.0000633590138672</v>
      </c>
      <c r="D29" s="55" t="s">
        <v>36</v>
      </c>
      <c r="E29" s="107"/>
    </row>
    <row r="30" spans="1:6" ht="18.75">
      <c r="A30" s="55" t="s">
        <v>290</v>
      </c>
      <c r="B30" s="55" t="s">
        <v>37</v>
      </c>
      <c r="C30" s="61">
        <f>(pout/VOUT)+(dilout/2)</f>
        <v>9.4017094017094021</v>
      </c>
      <c r="D30" s="55" t="s">
        <v>34</v>
      </c>
      <c r="E30" s="55" t="s">
        <v>19</v>
      </c>
    </row>
    <row r="31" spans="1:6" ht="18.75">
      <c r="A31" s="55" t="s">
        <v>290</v>
      </c>
      <c r="B31" s="55" t="s">
        <v>38</v>
      </c>
      <c r="C31" s="61">
        <f>(pout/VOUT)-(dilout/2)</f>
        <v>7.6923076923076925</v>
      </c>
      <c r="D31" s="55" t="s">
        <v>34</v>
      </c>
      <c r="E31" s="67"/>
    </row>
    <row r="32" spans="1:6" ht="18.75">
      <c r="A32" s="55" t="s">
        <v>290</v>
      </c>
      <c r="B32" s="55" t="s">
        <v>40</v>
      </c>
      <c r="C32" s="61">
        <f>ips-(dilout/2)</f>
        <v>8.5470085470085468</v>
      </c>
      <c r="D32" s="55" t="s">
        <v>34</v>
      </c>
      <c r="E32" s="61" t="s">
        <v>19</v>
      </c>
    </row>
    <row r="33" spans="1:5" ht="18.75">
      <c r="A33" s="55" t="s">
        <v>244</v>
      </c>
      <c r="B33" s="55" t="s">
        <v>39</v>
      </c>
      <c r="C33" s="61">
        <f>((dmax/2)*(ips*ims+(((ips-ims)^2)/3)))^0.5</f>
        <v>4.9180589336122402</v>
      </c>
      <c r="D33" s="55" t="s">
        <v>34</v>
      </c>
      <c r="E33" s="60" t="s">
        <v>19</v>
      </c>
    </row>
    <row r="34" spans="1:5" ht="18.75">
      <c r="A34" s="55" t="s">
        <v>244</v>
      </c>
      <c r="B34" s="55" t="s">
        <v>41</v>
      </c>
      <c r="C34" s="61">
        <f>(((1-dmax)/2)*(ips*_ims2+(((ips-_ims2)^2)/3)))^0.5</f>
        <v>3.701621154586817</v>
      </c>
      <c r="D34" s="55" t="s">
        <v>34</v>
      </c>
      <c r="E34" s="55" t="s">
        <v>19</v>
      </c>
    </row>
    <row r="35" spans="1:5" ht="18.75">
      <c r="A35" s="55" t="s">
        <v>244</v>
      </c>
      <c r="B35" s="55" t="s">
        <v>42</v>
      </c>
      <c r="C35" s="61">
        <f>(dilout/2)*((1-dmax)/6)^0.5</f>
        <v>0.20345949938868516</v>
      </c>
      <c r="D35" s="55" t="s">
        <v>34</v>
      </c>
      <c r="E35" s="55" t="s">
        <v>19</v>
      </c>
    </row>
    <row r="36" spans="1:5" ht="18.75">
      <c r="A36" s="55" t="s">
        <v>263</v>
      </c>
      <c r="B36" s="55" t="s">
        <v>43</v>
      </c>
      <c r="C36" s="61">
        <f>(isrms1^2+isrms2^2+isrms3^2)^0.5</f>
        <v>6.158790353182944</v>
      </c>
      <c r="D36" s="55" t="s">
        <v>34</v>
      </c>
    </row>
    <row r="37" spans="1:5" ht="18.75">
      <c r="A37" s="55" t="s">
        <v>291</v>
      </c>
      <c r="B37" s="72" t="s">
        <v>329</v>
      </c>
      <c r="C37" s="61">
        <f>(VINMIN*dmax)/(lmag*fs)</f>
        <v>1.1384278703327768</v>
      </c>
      <c r="D37" s="55" t="s">
        <v>34</v>
      </c>
    </row>
    <row r="38" spans="1:5" ht="18.75">
      <c r="A38" s="55" t="s">
        <v>290</v>
      </c>
      <c r="B38" s="55" t="s">
        <v>45</v>
      </c>
      <c r="C38" s="61">
        <f>(((pout/(VOUT*Eff))+dilout/2)/_taa1)+dilmag</f>
        <v>4.6233688552737622</v>
      </c>
      <c r="D38" s="55" t="s">
        <v>34</v>
      </c>
    </row>
    <row r="39" spans="1:5" ht="18.75">
      <c r="A39" s="55" t="s">
        <v>290</v>
      </c>
      <c r="B39" s="55" t="s">
        <v>46</v>
      </c>
      <c r="C39" s="61">
        <f>(((pout/(VOUT*Eff))-dilout/2)/_taa1)+dilmag</f>
        <v>4.0128682447731512</v>
      </c>
      <c r="D39" s="55" t="s">
        <v>34</v>
      </c>
    </row>
    <row r="40" spans="1:5" ht="18.75">
      <c r="A40" s="55" t="s">
        <v>290</v>
      </c>
      <c r="B40" s="55" t="s">
        <v>47</v>
      </c>
      <c r="C40" s="61">
        <f>ipp-((dilout/2)/_ta1)</f>
        <v>4.1823013410355161</v>
      </c>
      <c r="D40" s="55" t="s">
        <v>34</v>
      </c>
    </row>
    <row r="41" spans="1:5" ht="18.75">
      <c r="A41" s="55" t="s">
        <v>244</v>
      </c>
      <c r="B41" s="55" t="s">
        <v>48</v>
      </c>
      <c r="C41" s="61">
        <f>((dmax)*(ipp*imp+(((ipp-imp)^2)/3)))^0.5</f>
        <v>3.5109765964337614</v>
      </c>
      <c r="D41" s="55" t="s">
        <v>34</v>
      </c>
    </row>
    <row r="42" spans="1:5" ht="18.75">
      <c r="A42" s="55" t="s">
        <v>244</v>
      </c>
      <c r="B42" s="55" t="s">
        <v>49</v>
      </c>
      <c r="C42" s="61">
        <f>(((1-dmax))*(ipp*_imp2+(((ipp-_imp2)^2)/3)))^0.5</f>
        <v>2.568345251097361</v>
      </c>
      <c r="D42" s="55" t="s">
        <v>34</v>
      </c>
    </row>
    <row r="43" spans="1:5" ht="18.75">
      <c r="A43" s="55" t="s">
        <v>292</v>
      </c>
      <c r="B43" s="55" t="s">
        <v>51</v>
      </c>
      <c r="C43" s="61">
        <f>((iprms1)^2+(iprms2)^2)^0.5</f>
        <v>4.3500981586097529</v>
      </c>
      <c r="D43" s="55" t="s">
        <v>34</v>
      </c>
    </row>
    <row r="44" spans="1:5" ht="18.75">
      <c r="A44" s="55" t="s">
        <v>72</v>
      </c>
      <c r="B44" s="55" t="s">
        <v>35</v>
      </c>
      <c r="C44" s="92">
        <v>5</v>
      </c>
      <c r="D44" s="55" t="s">
        <v>36</v>
      </c>
      <c r="E44" s="83" t="str">
        <f>IF(lmag2&lt;lmag,"Please make Lmag &gt; or = Calculated Lmag","")</f>
        <v/>
      </c>
    </row>
    <row r="45" spans="1:5" ht="18.75">
      <c r="A45" s="55" t="s">
        <v>54</v>
      </c>
      <c r="B45" s="55" t="s">
        <v>50</v>
      </c>
      <c r="C45" s="92">
        <v>20</v>
      </c>
      <c r="D45" s="55" t="s">
        <v>205</v>
      </c>
    </row>
    <row r="46" spans="1:5" ht="18.75">
      <c r="A46" s="55" t="s">
        <v>55</v>
      </c>
      <c r="B46" s="55" t="s">
        <v>52</v>
      </c>
      <c r="C46" s="92">
        <v>10</v>
      </c>
      <c r="D46" s="55" t="s">
        <v>205</v>
      </c>
    </row>
    <row r="47" spans="1:5" ht="18.75">
      <c r="A47" s="55" t="s">
        <v>298</v>
      </c>
      <c r="B47" s="55" t="s">
        <v>297</v>
      </c>
      <c r="C47" s="92">
        <v>8</v>
      </c>
      <c r="D47" s="55" t="s">
        <v>74</v>
      </c>
    </row>
    <row r="48" spans="1:5" ht="18.75">
      <c r="A48" s="62" t="s">
        <v>56</v>
      </c>
      <c r="B48" s="55" t="s">
        <v>53</v>
      </c>
      <c r="C48" s="61">
        <f>2*((iprms^2*(dcrp/1000))+2*(isrms^2*(dcrs/1000)))</f>
        <v>2.2741621041599704</v>
      </c>
      <c r="D48" s="55" t="s">
        <v>18</v>
      </c>
    </row>
    <row r="49" spans="1:6" ht="18.75">
      <c r="A49" s="55" t="s">
        <v>57</v>
      </c>
      <c r="B49" s="55" t="s">
        <v>24</v>
      </c>
      <c r="C49" s="61">
        <f>pbudget-C48</f>
        <v>39.392504562506737</v>
      </c>
      <c r="D49" s="55" t="s">
        <v>18</v>
      </c>
      <c r="E49" s="83" t="str">
        <f>IF(C49&lt;0,"PBudget Cannot be Made with Selected Components","")</f>
        <v/>
      </c>
    </row>
    <row r="50" spans="1:6">
      <c r="A50" s="80" t="s">
        <v>58</v>
      </c>
      <c r="B50" s="80"/>
      <c r="C50" s="99" t="s">
        <v>19</v>
      </c>
      <c r="D50" s="80"/>
      <c r="E50" s="80"/>
      <c r="F50" s="80"/>
    </row>
    <row r="51" spans="1:6" ht="18.75">
      <c r="A51" s="62" t="s">
        <v>279</v>
      </c>
      <c r="B51" s="55" t="s">
        <v>69</v>
      </c>
      <c r="C51" s="92">
        <v>12</v>
      </c>
      <c r="D51" s="55" t="s">
        <v>17</v>
      </c>
    </row>
    <row r="52" spans="1:6" ht="18.75">
      <c r="A52" s="55" t="s">
        <v>60</v>
      </c>
      <c r="B52" s="55" t="s">
        <v>59</v>
      </c>
      <c r="C52" s="92">
        <v>110</v>
      </c>
      <c r="D52" s="55" t="s">
        <v>205</v>
      </c>
    </row>
    <row r="53" spans="1:6" ht="18.75">
      <c r="A53" s="55" t="s">
        <v>61</v>
      </c>
      <c r="B53" s="55" t="s">
        <v>63</v>
      </c>
      <c r="C53" s="92">
        <v>246</v>
      </c>
      <c r="D53" s="55" t="s">
        <v>62</v>
      </c>
    </row>
    <row r="54" spans="1:6" ht="18.75">
      <c r="A54" s="55" t="s">
        <v>115</v>
      </c>
      <c r="B54" s="55" t="s">
        <v>70</v>
      </c>
      <c r="C54" s="92">
        <v>37</v>
      </c>
      <c r="D54" s="55" t="s">
        <v>71</v>
      </c>
    </row>
    <row r="55" spans="1:6" ht="36">
      <c r="A55" s="57" t="s">
        <v>116</v>
      </c>
      <c r="B55" s="55" t="s">
        <v>64</v>
      </c>
      <c r="C55" s="92">
        <v>400</v>
      </c>
      <c r="D55" s="55" t="s">
        <v>17</v>
      </c>
    </row>
    <row r="56" spans="1:6" ht="18.75">
      <c r="A56" s="55" t="s">
        <v>65</v>
      </c>
      <c r="B56" s="55" t="s">
        <v>66</v>
      </c>
      <c r="C56" s="61">
        <f>C53*((C55/VINMAX)^0.5)</f>
        <v>242.98148077579904</v>
      </c>
      <c r="D56" s="55" t="s">
        <v>62</v>
      </c>
    </row>
    <row r="57" spans="1:6" ht="18.75">
      <c r="A57" s="55" t="s">
        <v>68</v>
      </c>
      <c r="B57" s="55" t="s">
        <v>67</v>
      </c>
      <c r="C57" s="61">
        <f>((iprms^2)*(rdsonqa/1000))+(2*(QAg*0.000000001)*vg*(fs*1000/2))</f>
        <v>2.1703689388493959</v>
      </c>
      <c r="D57" s="55" t="s">
        <v>18</v>
      </c>
    </row>
    <row r="58" spans="1:6" ht="18.75">
      <c r="A58" s="55" t="s">
        <v>57</v>
      </c>
      <c r="B58" s="55" t="s">
        <v>24</v>
      </c>
      <c r="C58" s="61">
        <f>C49-4*C57</f>
        <v>30.711028807109152</v>
      </c>
      <c r="D58" s="55" t="s">
        <v>18</v>
      </c>
      <c r="E58" s="83" t="str">
        <f>IF(C58&lt;0,"PBudget Cannot be Made with Selected Components","")</f>
        <v/>
      </c>
    </row>
    <row r="59" spans="1:6" ht="18.75">
      <c r="A59" s="80" t="s">
        <v>282</v>
      </c>
      <c r="B59" s="59"/>
      <c r="C59" s="100"/>
      <c r="D59" s="59"/>
      <c r="E59" s="80"/>
      <c r="F59" s="80"/>
    </row>
    <row r="60" spans="1:6" ht="18.75">
      <c r="A60" s="55" t="s">
        <v>85</v>
      </c>
      <c r="B60" s="55" t="s">
        <v>73</v>
      </c>
      <c r="C60" s="61">
        <f>(((2*cossqaavg*0.000000000001)*((vin)^2)/((ipp/2)-(dilout/(2*_ta1)))^2)*1000000)-llk</f>
        <v>13.123343947046305</v>
      </c>
      <c r="D60" s="55" t="s">
        <v>74</v>
      </c>
      <c r="E60" s="83" t="str">
        <f>IF(C60&lt;0,"Calculated Ls is Negative and Ls Might Not be Needed, However, Leave a Place Holder for Ls Just in Case","")</f>
        <v/>
      </c>
    </row>
    <row r="61" spans="1:6" ht="18.75">
      <c r="A61" s="55" t="s">
        <v>172</v>
      </c>
      <c r="B61" s="55" t="s">
        <v>73</v>
      </c>
      <c r="C61" s="92">
        <v>30</v>
      </c>
      <c r="D61" s="55" t="s">
        <v>74</v>
      </c>
    </row>
    <row r="62" spans="1:6" ht="18.75">
      <c r="A62" s="55" t="s">
        <v>76</v>
      </c>
      <c r="B62" s="55" t="s">
        <v>75</v>
      </c>
      <c r="C62" s="92">
        <v>5</v>
      </c>
      <c r="D62" s="55" t="s">
        <v>205</v>
      </c>
    </row>
    <row r="63" spans="1:6" ht="18.75">
      <c r="A63" s="55" t="s">
        <v>77</v>
      </c>
      <c r="B63" s="55" t="s">
        <v>78</v>
      </c>
      <c r="C63" s="61">
        <f>2*iprms^2*(C62*0.001)</f>
        <v>0.18923353989539962</v>
      </c>
      <c r="D63" s="55" t="s">
        <v>18</v>
      </c>
    </row>
    <row r="64" spans="1:6" ht="18.75">
      <c r="A64" s="55" t="s">
        <v>57</v>
      </c>
      <c r="B64" s="55" t="s">
        <v>24</v>
      </c>
      <c r="C64" s="61">
        <f>C58-C63</f>
        <v>30.521795267213751</v>
      </c>
      <c r="D64" s="55" t="s">
        <v>18</v>
      </c>
      <c r="E64" s="83" t="str">
        <f>IF(C64&lt;0,"PBudget Cannot be Made with Selected Components","")</f>
        <v/>
      </c>
    </row>
    <row r="65" spans="1:6" ht="18.75">
      <c r="A65" s="80" t="s">
        <v>283</v>
      </c>
      <c r="B65" s="59"/>
      <c r="C65" s="100"/>
      <c r="D65" s="59"/>
      <c r="E65" s="80"/>
      <c r="F65" s="80"/>
    </row>
    <row r="66" spans="1:6" ht="18.75">
      <c r="A66" s="55" t="s">
        <v>86</v>
      </c>
      <c r="B66" s="55" t="s">
        <v>79</v>
      </c>
      <c r="C66" s="61">
        <f>((VOUT*(1-dtyp))/(dilout*fs))*1000</f>
        <v>53.574822804314316</v>
      </c>
      <c r="D66" s="55" t="s">
        <v>74</v>
      </c>
    </row>
    <row r="67" spans="1:6" ht="18.75">
      <c r="A67" s="55" t="s">
        <v>83</v>
      </c>
      <c r="B67" s="55" t="s">
        <v>84</v>
      </c>
      <c r="C67" s="61">
        <f>((pout/VOUT)^2+(dilout/(3^0.5))^2)^0.5</f>
        <v>8.6037999262344727</v>
      </c>
      <c r="D67" s="55" t="s">
        <v>34</v>
      </c>
    </row>
    <row r="68" spans="1:6" ht="18.75">
      <c r="A68" s="55" t="s">
        <v>173</v>
      </c>
      <c r="B68" s="55" t="s">
        <v>79</v>
      </c>
      <c r="C68" s="92">
        <v>70</v>
      </c>
      <c r="D68" s="55" t="s">
        <v>74</v>
      </c>
      <c r="E68" s="55" t="str">
        <f>IF(lout&lt;(C66*0.9),"Lout needs to be &gt; or = Lout Calculated","")</f>
        <v/>
      </c>
    </row>
    <row r="69" spans="1:6" ht="18.75">
      <c r="A69" s="55" t="s">
        <v>264</v>
      </c>
      <c r="B69" s="55" t="s">
        <v>80</v>
      </c>
      <c r="C69" s="92">
        <v>10</v>
      </c>
      <c r="D69" s="55" t="s">
        <v>205</v>
      </c>
    </row>
    <row r="70" spans="1:6" ht="18.75">
      <c r="A70" s="55" t="s">
        <v>81</v>
      </c>
      <c r="B70" s="55" t="s">
        <v>82</v>
      </c>
      <c r="C70" s="61">
        <f>2*iloutrms^2*dcrlout*0.001</f>
        <v>1.4805074634134463</v>
      </c>
      <c r="D70" s="55" t="s">
        <v>18</v>
      </c>
    </row>
    <row r="71" spans="1:6" ht="18.75">
      <c r="A71" s="55" t="s">
        <v>57</v>
      </c>
      <c r="B71" s="55" t="s">
        <v>24</v>
      </c>
      <c r="C71" s="61">
        <f>C64-C70</f>
        <v>29.041287803800305</v>
      </c>
      <c r="D71" s="55" t="s">
        <v>18</v>
      </c>
      <c r="E71" s="83" t="str">
        <f>IF(C71&lt;0,"PBudget Cannot be Made with Selected Components","")</f>
        <v/>
      </c>
    </row>
    <row r="72" spans="1:6" ht="18.75">
      <c r="A72" s="80" t="s">
        <v>284</v>
      </c>
      <c r="B72" s="59"/>
      <c r="C72" s="100"/>
      <c r="D72" s="59"/>
      <c r="E72" s="80"/>
      <c r="F72" s="80"/>
    </row>
    <row r="73" spans="1:6" ht="18.75">
      <c r="A73" s="55" t="s">
        <v>88</v>
      </c>
      <c r="B73" s="55" t="s">
        <v>87</v>
      </c>
      <c r="C73" s="61">
        <f>((lout*pout*0.9)/VOUT)/VOUT</f>
        <v>4.6022353714661408</v>
      </c>
      <c r="D73" s="55" t="s">
        <v>89</v>
      </c>
    </row>
    <row r="74" spans="1:6" ht="18.75">
      <c r="A74" s="55" t="s">
        <v>206</v>
      </c>
      <c r="B74" s="55" t="s">
        <v>90</v>
      </c>
      <c r="C74" s="61">
        <f>((VTRAN*0.9)/((pout*0.9)/VOUT))*10^3</f>
        <v>585</v>
      </c>
      <c r="D74" s="55" t="s">
        <v>205</v>
      </c>
    </row>
    <row r="75" spans="1:6" ht="18.75">
      <c r="A75" s="55" t="s">
        <v>207</v>
      </c>
      <c r="B75" s="55" t="s">
        <v>91</v>
      </c>
      <c r="C75" s="61">
        <f>(pout*0.9*thu)/(VOUT*VTRAN*0.1)</f>
        <v>70.803621099479088</v>
      </c>
      <c r="D75" s="55" t="s">
        <v>92</v>
      </c>
    </row>
    <row r="76" spans="1:6" ht="18.75">
      <c r="A76" s="55" t="s">
        <v>98</v>
      </c>
      <c r="B76" s="55" t="s">
        <v>97</v>
      </c>
      <c r="C76" s="61">
        <f>dilout/(3^0.5)</f>
        <v>0.98692353707628333</v>
      </c>
      <c r="D76" s="55" t="s">
        <v>34</v>
      </c>
    </row>
    <row r="77" spans="1:6">
      <c r="A77" s="55" t="s">
        <v>175</v>
      </c>
      <c r="B77" s="55" t="s">
        <v>93</v>
      </c>
      <c r="C77" s="92">
        <v>2</v>
      </c>
    </row>
    <row r="78" spans="1:6">
      <c r="A78" s="55" t="s">
        <v>94</v>
      </c>
      <c r="C78" s="92">
        <v>330</v>
      </c>
      <c r="D78" s="55" t="s">
        <v>92</v>
      </c>
    </row>
    <row r="79" spans="1:6">
      <c r="A79" s="55" t="s">
        <v>95</v>
      </c>
      <c r="C79" s="92">
        <v>50</v>
      </c>
      <c r="D79" s="55" t="s">
        <v>205</v>
      </c>
    </row>
    <row r="80" spans="1:6" ht="18.75">
      <c r="A80" s="55" t="s">
        <v>96</v>
      </c>
      <c r="B80" s="55" t="s">
        <v>91</v>
      </c>
      <c r="C80" s="61">
        <f>C77*C78</f>
        <v>660</v>
      </c>
      <c r="D80" s="55" t="s">
        <v>92</v>
      </c>
    </row>
    <row r="81" spans="1:7" ht="18.75">
      <c r="A81" s="55" t="s">
        <v>265</v>
      </c>
      <c r="B81" s="55" t="s">
        <v>90</v>
      </c>
      <c r="C81" s="61">
        <f>C79/C77</f>
        <v>25</v>
      </c>
      <c r="D81" s="55" t="s">
        <v>205</v>
      </c>
    </row>
    <row r="82" spans="1:7" ht="18.75">
      <c r="A82" s="55" t="s">
        <v>99</v>
      </c>
      <c r="B82" s="55" t="s">
        <v>100</v>
      </c>
      <c r="C82" s="61">
        <f>(C76^2)*C81*0.001</f>
        <v>2.4350451700879048E-2</v>
      </c>
      <c r="D82" s="55" t="s">
        <v>18</v>
      </c>
    </row>
    <row r="83" spans="1:7" ht="18.75">
      <c r="A83" s="55" t="s">
        <v>57</v>
      </c>
      <c r="B83" s="55" t="s">
        <v>24</v>
      </c>
      <c r="C83" s="61">
        <f>C71-C82</f>
        <v>29.016937352099426</v>
      </c>
      <c r="D83" s="55" t="s">
        <v>18</v>
      </c>
      <c r="E83" s="83" t="str">
        <f>IF(C83&lt;0,"PBudget Cannot be Made with Selected Components","")</f>
        <v/>
      </c>
    </row>
    <row r="84" spans="1:7">
      <c r="A84" s="80" t="s">
        <v>109</v>
      </c>
      <c r="B84" s="59"/>
      <c r="C84" s="100"/>
      <c r="D84" s="59"/>
      <c r="E84" s="80"/>
      <c r="F84" s="80"/>
    </row>
    <row r="85" spans="1:7" ht="18.75">
      <c r="A85" s="55" t="s">
        <v>135</v>
      </c>
      <c r="B85" s="55" t="s">
        <v>117</v>
      </c>
      <c r="C85" s="93">
        <f>2*VINMAX/_taa1</f>
        <v>292.85714285714289</v>
      </c>
      <c r="D85" s="55" t="s">
        <v>17</v>
      </c>
      <c r="E85" s="105" t="s">
        <v>336</v>
      </c>
    </row>
    <row r="86" spans="1:7" ht="18.75">
      <c r="A86" s="55" t="s">
        <v>112</v>
      </c>
      <c r="B86" s="55" t="s">
        <v>110</v>
      </c>
      <c r="C86" s="92">
        <v>37</v>
      </c>
      <c r="D86" s="55" t="s">
        <v>71</v>
      </c>
    </row>
    <row r="87" spans="1:7" ht="18.75">
      <c r="A87" s="55" t="s">
        <v>266</v>
      </c>
      <c r="B87" s="55" t="s">
        <v>111</v>
      </c>
      <c r="C87" s="92">
        <v>10</v>
      </c>
      <c r="D87" s="55" t="s">
        <v>205</v>
      </c>
    </row>
    <row r="88" spans="1:7" ht="18.75">
      <c r="A88" s="55" t="s">
        <v>119</v>
      </c>
      <c r="B88" s="55" t="s">
        <v>118</v>
      </c>
      <c r="C88" s="92">
        <v>300</v>
      </c>
      <c r="D88" s="55" t="s">
        <v>17</v>
      </c>
    </row>
    <row r="89" spans="1:7" ht="18.75">
      <c r="A89" s="55" t="s">
        <v>121</v>
      </c>
      <c r="B89" s="55" t="s">
        <v>120</v>
      </c>
      <c r="C89" s="92">
        <v>300</v>
      </c>
      <c r="D89" s="55" t="s">
        <v>62</v>
      </c>
    </row>
    <row r="90" spans="1:7" ht="18.75">
      <c r="A90" s="55" t="s">
        <v>123</v>
      </c>
      <c r="B90" s="55" t="s">
        <v>122</v>
      </c>
      <c r="C90" s="61">
        <f>C89*((C85/C88)^0.5)</f>
        <v>296.40705601780616</v>
      </c>
      <c r="D90" s="55" t="s">
        <v>62</v>
      </c>
    </row>
    <row r="91" spans="1:7" ht="18.75">
      <c r="A91" s="55" t="s">
        <v>124</v>
      </c>
      <c r="B91" s="55" t="s">
        <v>125</v>
      </c>
      <c r="C91" s="61">
        <f>isrms</f>
        <v>6.158790353182944</v>
      </c>
      <c r="D91" s="55" t="s">
        <v>34</v>
      </c>
    </row>
    <row r="92" spans="1:7" ht="18.75">
      <c r="A92" s="55" t="s">
        <v>128</v>
      </c>
      <c r="B92" s="55" t="s">
        <v>126</v>
      </c>
      <c r="C92" s="92">
        <v>37</v>
      </c>
      <c r="D92" s="55" t="s">
        <v>71</v>
      </c>
    </row>
    <row r="93" spans="1:7" ht="18.75">
      <c r="A93" s="55" t="s">
        <v>267</v>
      </c>
      <c r="B93" s="55" t="s">
        <v>127</v>
      </c>
      <c r="C93" s="92">
        <v>30</v>
      </c>
      <c r="D93" s="55" t="s">
        <v>71</v>
      </c>
    </row>
    <row r="94" spans="1:7" ht="18.75">
      <c r="A94" s="55" t="s">
        <v>129</v>
      </c>
      <c r="B94" s="55" t="s">
        <v>130</v>
      </c>
      <c r="C94" s="92">
        <v>40</v>
      </c>
      <c r="D94" s="55" t="s">
        <v>34</v>
      </c>
    </row>
    <row r="95" spans="1:7" ht="18.75">
      <c r="A95" s="55" t="s">
        <v>268</v>
      </c>
      <c r="B95" s="55" t="s">
        <v>131</v>
      </c>
      <c r="C95" s="61">
        <f>(C92-C93)/(C94/2)</f>
        <v>0.35</v>
      </c>
      <c r="D95" s="55" t="s">
        <v>132</v>
      </c>
    </row>
    <row r="96" spans="1:7" ht="18.75">
      <c r="A96" s="55" t="s">
        <v>133</v>
      </c>
      <c r="B96" s="55" t="s">
        <v>134</v>
      </c>
      <c r="C96" s="61">
        <f>((isrms^2)*(rdsonqe*0.001))+(pout/VOUT)*vdsqe*(2*tr*0.000000001)*((fs*1000)/2)+(2*(cossqeavg*0.000000000001)*(vdsqe^2)*((fs*1000)/2))+(2*(qeg*0.000000001)*vg*((fs*1000)/2))</f>
        <v>5.7276090406024744</v>
      </c>
      <c r="D96" s="55" t="s">
        <v>18</v>
      </c>
      <c r="G96" s="55">
        <v>7.66</v>
      </c>
    </row>
    <row r="97" spans="1:6" ht="18.75">
      <c r="A97" s="57" t="s">
        <v>57</v>
      </c>
      <c r="B97" s="55" t="s">
        <v>24</v>
      </c>
      <c r="C97" s="61">
        <f>C83-2*C96</f>
        <v>17.561719270894478</v>
      </c>
      <c r="D97" s="55" t="s">
        <v>18</v>
      </c>
      <c r="E97" s="83" t="str">
        <f>IF(C97&lt;0,"PBudget Cannot be Made with Selected Components","")</f>
        <v/>
      </c>
    </row>
    <row r="98" spans="1:6" ht="18.75">
      <c r="A98" s="80" t="s">
        <v>285</v>
      </c>
      <c r="B98" s="59"/>
      <c r="C98" s="100"/>
      <c r="D98" s="59"/>
      <c r="E98" s="80"/>
      <c r="F98" s="80"/>
    </row>
    <row r="99" spans="1:6" hidden="1">
      <c r="A99" s="57" t="s">
        <v>166</v>
      </c>
      <c r="B99" s="55" t="s">
        <v>165</v>
      </c>
      <c r="C99" s="61">
        <f>1/(2*PI()*(ls*0.000001*2*cossqaavg*0.000000000001)^0.5)</f>
        <v>1318129.0128956439</v>
      </c>
      <c r="D99" s="55" t="s">
        <v>19</v>
      </c>
    </row>
    <row r="100" spans="1:6" ht="18.75">
      <c r="A100" s="57" t="s">
        <v>167</v>
      </c>
      <c r="B100" s="55" t="s">
        <v>164</v>
      </c>
      <c r="C100" s="61">
        <f>2.2*1000000000/(C99*4)</f>
        <v>417.25809432854311</v>
      </c>
      <c r="D100" s="55" t="s">
        <v>132</v>
      </c>
    </row>
    <row r="101" spans="1:6" hidden="1">
      <c r="A101" s="57" t="s">
        <v>170</v>
      </c>
      <c r="B101" s="55" t="s">
        <v>171</v>
      </c>
      <c r="C101" s="61">
        <f>1/(fs*1000)</f>
        <v>5.0000000000000004E-6</v>
      </c>
      <c r="E101" s="55" t="s">
        <v>19</v>
      </c>
    </row>
    <row r="102" spans="1:6" ht="18.75">
      <c r="A102" s="57" t="s">
        <v>169</v>
      </c>
      <c r="B102" s="55" t="s">
        <v>168</v>
      </c>
      <c r="C102" s="61">
        <f>(C101-C100*0.000000001)/C101</f>
        <v>0.91654838113429138</v>
      </c>
    </row>
    <row r="103" spans="1:6" ht="18.75">
      <c r="A103" s="55" t="s">
        <v>102</v>
      </c>
      <c r="B103" s="55" t="s">
        <v>101</v>
      </c>
      <c r="C103" s="61">
        <f>((2*dclamp*vrdson)+(_taa1*(VOUT+vrdson)))/dclamp</f>
        <v>358.94442213899612</v>
      </c>
      <c r="D103" s="55" t="s">
        <v>17</v>
      </c>
    </row>
    <row r="104" spans="1:6" ht="18.75">
      <c r="A104" s="55" t="s">
        <v>104</v>
      </c>
      <c r="B104" s="55" t="s">
        <v>103</v>
      </c>
      <c r="C104" s="61">
        <f>((2*pout*(1/60))/(vin^2-C103^2))*1000000</f>
        <v>1433.143043383207</v>
      </c>
      <c r="D104" s="55" t="s">
        <v>92</v>
      </c>
      <c r="E104" s="83" t="str">
        <f>IF(VINMIN&lt;200,"Non-PFC Cin Capacitance Cannot Be Calculated, Use Other Method","")</f>
        <v/>
      </c>
    </row>
    <row r="105" spans="1:6" ht="18.75">
      <c r="A105" s="55" t="s">
        <v>105</v>
      </c>
      <c r="B105" s="55" t="s">
        <v>106</v>
      </c>
      <c r="C105" s="61">
        <f>(    (iprms1^2)    -(        ( pout/(VINMIN*Eff)       )   ^2)           )^0.5</f>
        <v>1.7918262269092795</v>
      </c>
      <c r="D105" s="55" t="s">
        <v>34</v>
      </c>
    </row>
    <row r="106" spans="1:6" ht="18.75">
      <c r="A106" s="55" t="s">
        <v>176</v>
      </c>
      <c r="B106" s="55" t="s">
        <v>103</v>
      </c>
      <c r="C106" s="92">
        <v>540</v>
      </c>
      <c r="D106" s="55" t="s">
        <v>92</v>
      </c>
    </row>
    <row r="107" spans="1:6" ht="18.75">
      <c r="A107" s="55" t="s">
        <v>269</v>
      </c>
      <c r="B107" s="55" t="s">
        <v>107</v>
      </c>
      <c r="C107" s="92">
        <v>100</v>
      </c>
      <c r="D107" s="55" t="s">
        <v>205</v>
      </c>
    </row>
    <row r="108" spans="1:6" ht="18.75">
      <c r="A108" s="55" t="s">
        <v>270</v>
      </c>
      <c r="B108" s="55" t="s">
        <v>108</v>
      </c>
      <c r="C108" s="61">
        <f>(C105^2)*(C107*0.001)</f>
        <v>0.32106412274399454</v>
      </c>
      <c r="D108" s="55" t="s">
        <v>18</v>
      </c>
    </row>
    <row r="109" spans="1:6" ht="54.75" customHeight="1">
      <c r="A109" s="57" t="s">
        <v>286</v>
      </c>
      <c r="B109" s="55" t="s">
        <v>24</v>
      </c>
      <c r="C109" s="61">
        <f>C97-C108</f>
        <v>17.240655148150484</v>
      </c>
      <c r="D109" s="55" t="s">
        <v>18</v>
      </c>
      <c r="E109" s="83" t="str">
        <f>IF(C109&lt;0,"PBudget Cannot be Made with Selected Components","")</f>
        <v/>
      </c>
    </row>
    <row r="110" spans="1:6" ht="18.75">
      <c r="A110" s="80" t="s">
        <v>293</v>
      </c>
      <c r="B110" s="80"/>
      <c r="C110" s="99" t="s">
        <v>19</v>
      </c>
      <c r="D110" s="80" t="s">
        <v>19</v>
      </c>
      <c r="E110" s="80" t="s">
        <v>19</v>
      </c>
      <c r="F110" s="80"/>
    </row>
    <row r="111" spans="1:6" ht="18.75">
      <c r="A111" s="55" t="s">
        <v>137</v>
      </c>
      <c r="B111" s="55" t="s">
        <v>136</v>
      </c>
      <c r="C111" s="92">
        <v>100</v>
      </c>
    </row>
    <row r="112" spans="1:6" ht="18.75">
      <c r="A112" s="55" t="s">
        <v>158</v>
      </c>
      <c r="B112" s="55" t="s">
        <v>157</v>
      </c>
      <c r="C112" s="93">
        <f>((pout/(VOUT)+(dilout/2))/(Eff*_taa1))+((VINMIN*dmax)/(lmag2*fs))</f>
        <v>3.725359747659748</v>
      </c>
      <c r="D112" s="55" t="s">
        <v>34</v>
      </c>
      <c r="E112" s="55" t="s">
        <v>19</v>
      </c>
    </row>
    <row r="113" spans="1:6" ht="18.75">
      <c r="A113" s="55" t="s">
        <v>155</v>
      </c>
      <c r="B113" s="55" t="s">
        <v>154</v>
      </c>
      <c r="C113" s="61">
        <f>(2-0.2)/((_ipp1/_ta2)*1.1)</f>
        <v>43.924983013830854</v>
      </c>
      <c r="D113" s="55" t="s">
        <v>156</v>
      </c>
    </row>
    <row r="114" spans="1:6" ht="18.75">
      <c r="A114" s="55" t="s">
        <v>295</v>
      </c>
      <c r="B114" s="55" t="s">
        <v>154</v>
      </c>
      <c r="C114" s="61">
        <f>(IF((10^(LOG(C113)-INT(LOG(C113)))*100)-VLOOKUP((10^(LOG(C113)-INT(LOG(C113)))*100),E48_s:E48_f,1)&lt;VLOOKUP((10^(LOG(C113)-INT(LOG(C113)))*100),E48_s:E48_f,2)-(10^(LOG(C113)-INT(LOG(C113)))*100),VLOOKUP((10^(LOG(C113)-INT(LOG(C113)))*100),E48_s:E48_f,1),VLOOKUP((10^(LOG(C113)-INT(LOG(C113)))*100),E48_s:E48_f,2)))*10^INT(LOG(C113))/100</f>
        <v>44.2</v>
      </c>
      <c r="D114" s="55" t="s">
        <v>156</v>
      </c>
    </row>
    <row r="115" spans="1:6" ht="18.75">
      <c r="A115" s="55" t="s">
        <v>159</v>
      </c>
      <c r="B115" s="55" t="s">
        <v>154</v>
      </c>
      <c r="C115" s="92">
        <v>33</v>
      </c>
      <c r="D115" s="55" t="s">
        <v>156</v>
      </c>
      <c r="E115" s="55" t="s">
        <v>19</v>
      </c>
    </row>
    <row r="116" spans="1:6" ht="18.75">
      <c r="A116" s="55" t="s">
        <v>160</v>
      </c>
      <c r="B116" s="55" t="s">
        <v>161</v>
      </c>
      <c r="C116" s="61">
        <f>((iprms1/_ta2)^2)*C115</f>
        <v>4.0678956980328473E-2</v>
      </c>
      <c r="D116" s="55" t="s">
        <v>18</v>
      </c>
    </row>
    <row r="117" spans="1:6" ht="18.75">
      <c r="A117" s="55" t="s">
        <v>163</v>
      </c>
      <c r="B117" s="55" t="s">
        <v>162</v>
      </c>
      <c r="C117" s="61">
        <f>(2*(dclamp))/(1-dclamp)</f>
        <v>21.965982052648073</v>
      </c>
      <c r="D117" s="55" t="s">
        <v>17</v>
      </c>
    </row>
    <row r="118" spans="1:6" ht="18.75">
      <c r="A118" s="55" t="s">
        <v>177</v>
      </c>
      <c r="B118" s="55" t="s">
        <v>178</v>
      </c>
      <c r="C118" s="61">
        <f>(pout*0.6)/(VINMIN*Eff*_ta2)</f>
        <v>1.8115942028985508E-2</v>
      </c>
      <c r="D118" s="55" t="s">
        <v>18</v>
      </c>
    </row>
    <row r="119" spans="1:6" ht="18.75">
      <c r="A119" s="80" t="s">
        <v>287</v>
      </c>
      <c r="B119" s="59"/>
      <c r="C119" s="100"/>
      <c r="D119" s="59"/>
      <c r="E119" s="80" t="s">
        <v>19</v>
      </c>
      <c r="F119" s="80"/>
    </row>
    <row r="120" spans="1:6">
      <c r="A120" s="55" t="s">
        <v>271</v>
      </c>
      <c r="B120" s="55" t="s">
        <v>179</v>
      </c>
      <c r="C120" s="92">
        <v>2.5</v>
      </c>
      <c r="D120" s="55" t="s">
        <v>17</v>
      </c>
      <c r="E120" s="83" t="str">
        <f>IF(_va1&gt;VOUT,"V1 Needs to be &lt; VOUT",IF(_va1=VOUT,"V1 Needs to be &lt; VOUT",""))</f>
        <v/>
      </c>
      <c r="F120" s="83"/>
    </row>
    <row r="121" spans="1:6" ht="18.75">
      <c r="A121" s="55" t="s">
        <v>181</v>
      </c>
      <c r="B121" s="55" t="s">
        <v>180</v>
      </c>
      <c r="C121" s="92">
        <v>2.4</v>
      </c>
      <c r="D121" s="55" t="s">
        <v>208</v>
      </c>
      <c r="E121" s="83" t="str">
        <f>IF(_va1&lt;0.5,"V1 Needs to be Greater than 0.5","")</f>
        <v/>
      </c>
    </row>
    <row r="122" spans="1:6" ht="18.75">
      <c r="A122" s="55" t="s">
        <v>183</v>
      </c>
      <c r="B122" s="55" t="s">
        <v>182</v>
      </c>
      <c r="C122" s="61">
        <f>C121*(5-C120)/C120</f>
        <v>2.4</v>
      </c>
      <c r="D122" s="55" t="s">
        <v>208</v>
      </c>
    </row>
    <row r="123" spans="1:6" ht="18.75">
      <c r="A123" s="55" t="s">
        <v>295</v>
      </c>
      <c r="B123" s="55" t="s">
        <v>182</v>
      </c>
      <c r="C123" s="61">
        <f>(IF((10^(LOG(C122)-INT(LOG(C122)))*100)-VLOOKUP((10^(LOG(C122)-INT(LOG(C122)))*100),E48_s:E48_f,1)&lt;VLOOKUP((10^(LOG(C122)-INT(LOG(C122)))*100),E48_s:E48_f,2)-(10^(LOG(C122)-INT(LOG(C122)))*100),VLOOKUP((10^(LOG(C122)-INT(LOG(C122)))*100),E48_s:E48_f,1),VLOOKUP((10^(LOG(C122)-INT(LOG(C122)))*100),E48_s:E48_f,2)))*10^INT(LOG(C122))/100</f>
        <v>2.37</v>
      </c>
      <c r="D123" s="55" t="s">
        <v>208</v>
      </c>
    </row>
    <row r="124" spans="1:6" ht="18.75">
      <c r="A124" s="55" t="s">
        <v>323</v>
      </c>
      <c r="B124" s="55" t="s">
        <v>182</v>
      </c>
      <c r="C124" s="92">
        <v>2.4</v>
      </c>
      <c r="D124" s="55" t="s">
        <v>208</v>
      </c>
    </row>
    <row r="125" spans="1:6" ht="18.75">
      <c r="A125" s="55" t="s">
        <v>181</v>
      </c>
      <c r="B125" s="55" t="s">
        <v>184</v>
      </c>
      <c r="C125" s="92">
        <v>2.4</v>
      </c>
      <c r="D125" s="55" t="s">
        <v>208</v>
      </c>
    </row>
    <row r="126" spans="1:6" ht="18.75">
      <c r="A126" s="55" t="s">
        <v>183</v>
      </c>
      <c r="B126" s="55" t="s">
        <v>185</v>
      </c>
      <c r="C126" s="61">
        <f>C125*(VOUT-_va1)/_va1</f>
        <v>109.92</v>
      </c>
      <c r="D126" s="55" t="s">
        <v>208</v>
      </c>
    </row>
    <row r="127" spans="1:6" ht="18.75">
      <c r="A127" s="55" t="s">
        <v>295</v>
      </c>
      <c r="B127" s="55" t="s">
        <v>185</v>
      </c>
      <c r="C127" s="61">
        <f>(IF((10^(LOG(C126)-INT(LOG(C126)))*100)-VLOOKUP((10^(LOG(C126)-INT(LOG(C126)))*100),E48_s:E48_f,1)&lt;VLOOKUP((10^(LOG(C126)-INT(LOG(C126)))*100),E48_s:E48_f,2)-(10^(LOG(C126)-INT(LOG(C126)))*100),VLOOKUP((10^(LOG(C126)-INT(LOG(C126)))*100),E48_s:E48_f,1),VLOOKUP((10^(LOG(C126)-INT(LOG(C126)))*100),E48_s:E48_f,2)))*10^INT(LOG(C126))/100</f>
        <v>110</v>
      </c>
      <c r="D127" s="55" t="s">
        <v>208</v>
      </c>
    </row>
    <row r="128" spans="1:6" ht="18.75">
      <c r="A128" s="55" t="s">
        <v>323</v>
      </c>
      <c r="B128" s="55" t="s">
        <v>185</v>
      </c>
      <c r="C128" s="92">
        <v>110</v>
      </c>
      <c r="D128" s="55" t="s">
        <v>208</v>
      </c>
    </row>
    <row r="129" spans="1:5" ht="18.75">
      <c r="A129" s="55" t="s">
        <v>280</v>
      </c>
      <c r="B129" s="55" t="s">
        <v>281</v>
      </c>
      <c r="C129" s="61">
        <f>fs/4</f>
        <v>50</v>
      </c>
      <c r="D129" s="55" t="s">
        <v>20</v>
      </c>
    </row>
    <row r="130" spans="1:5" ht="18.75">
      <c r="A130" s="55" t="s">
        <v>187</v>
      </c>
      <c r="B130" s="55" t="s">
        <v>186</v>
      </c>
      <c r="C130" s="61">
        <f>fs/40</f>
        <v>5</v>
      </c>
      <c r="D130" s="55" t="s">
        <v>20</v>
      </c>
    </row>
    <row r="131" spans="1:5" ht="18.75">
      <c r="A131" s="55" t="s">
        <v>272</v>
      </c>
      <c r="B131" s="55" t="s">
        <v>188</v>
      </c>
      <c r="C131" s="61">
        <f>(VOUT^2)/(pout*0.1)</f>
        <v>136.88999999999999</v>
      </c>
      <c r="D131" s="55" t="s">
        <v>156</v>
      </c>
    </row>
    <row r="132" spans="1:5" hidden="1">
      <c r="A132" s="54" t="s">
        <v>189</v>
      </c>
      <c r="B132" s="54" t="s">
        <v>190</v>
      </c>
      <c r="C132" s="101">
        <f>_ta1*_ta2*(rload/RS)</f>
        <v>803.83488491048581</v>
      </c>
      <c r="D132" s="55" t="s">
        <v>19</v>
      </c>
    </row>
    <row r="133" spans="1:5" hidden="1">
      <c r="A133" s="75" t="s">
        <v>197</v>
      </c>
      <c r="B133" s="54"/>
      <c r="C133" s="101" t="str">
        <f>(COMPLEX(1,2*PI()*fc*1000*esrcout*0.001*cout*0.000001))</f>
        <v>1+0.518362787842316i</v>
      </c>
    </row>
    <row r="134" spans="1:5" hidden="1">
      <c r="A134" s="54" t="s">
        <v>191</v>
      </c>
      <c r="B134" s="54" t="s">
        <v>192</v>
      </c>
      <c r="C134" s="101" t="str">
        <f>IMDIV((COMPLEX(1,2*PI()*fc*1000*esrcout*0.001*cout*0.000001)),(COMPLEX(1,2*PI()*fc*1000*rload*cout*0.000001)))</f>
        <v>0.000182752492837173-0.000352253318035269i</v>
      </c>
    </row>
    <row r="135" spans="1:5" hidden="1">
      <c r="A135" s="54" t="s">
        <v>193</v>
      </c>
      <c r="B135" s="54" t="s">
        <v>193</v>
      </c>
      <c r="C135" s="101" t="str">
        <f>IMDIV(1,(COMPLEX((1-(fc/fpp)^2),(fc/fpp))))</f>
        <v>0.999899000101-0.100999899000101i</v>
      </c>
    </row>
    <row r="136" spans="1:5" hidden="1">
      <c r="A136" s="54" t="s">
        <v>194</v>
      </c>
      <c r="C136" s="101" t="str">
        <f>IMPRODUCT(n1divd1,d2a)</f>
        <v>0.000147156485309842-0.000370675723804296i</v>
      </c>
      <c r="E136" s="54"/>
    </row>
    <row r="137" spans="1:5" hidden="1">
      <c r="A137" s="54" t="s">
        <v>195</v>
      </c>
      <c r="C137" s="101" t="str">
        <f>IMPRODUCT(constant,C136)</f>
        <v>0.118289516432868-0.297962077783337i</v>
      </c>
    </row>
    <row r="138" spans="1:5" hidden="1">
      <c r="A138" s="54" t="s">
        <v>196</v>
      </c>
      <c r="B138" s="54" t="s">
        <v>198</v>
      </c>
      <c r="C138" s="101">
        <f>IMABS(C137)</f>
        <v>0.32058354526532568</v>
      </c>
    </row>
    <row r="139" spans="1:5" ht="18.75">
      <c r="A139" s="55" t="s">
        <v>200</v>
      </c>
      <c r="B139" s="55" t="s">
        <v>199</v>
      </c>
      <c r="C139" s="61">
        <f>RII/C138</f>
        <v>343.12428577380763</v>
      </c>
      <c r="D139" s="55" t="s">
        <v>208</v>
      </c>
    </row>
    <row r="140" spans="1:5" ht="18.75">
      <c r="A140" s="55" t="s">
        <v>295</v>
      </c>
      <c r="B140" s="55" t="s">
        <v>199</v>
      </c>
      <c r="C140" s="61">
        <f>(IF((10^(LOG(C139)-INT(LOG(C139)))*100)-VLOOKUP((10^(LOG(C139)-INT(LOG(C139)))*100),E48_s:E48_f,1)&lt;VLOOKUP((10^(LOG(C139)-INT(LOG(C139)))*100),E48_s:E48_f,2)-(10^(LOG(C139)-INT(LOG(C139)))*100),VLOOKUP((10^(LOG(C139)-INT(LOG(C139)))*100),E48_s:E48_f,1),VLOOKUP((10^(LOG(C139)-INT(LOG(C139)))*100),E48_s:E48_f,2)))*10^INT(LOG(C139))/100</f>
        <v>348</v>
      </c>
      <c r="D140" s="55" t="s">
        <v>208</v>
      </c>
    </row>
    <row r="141" spans="1:5" ht="18.75">
      <c r="A141" s="55" t="s">
        <v>323</v>
      </c>
      <c r="B141" s="55" t="s">
        <v>199</v>
      </c>
      <c r="C141" s="92">
        <v>10</v>
      </c>
      <c r="D141" s="55" t="s">
        <v>208</v>
      </c>
    </row>
    <row r="142" spans="1:5" ht="18.75">
      <c r="A142" s="55" t="s">
        <v>204</v>
      </c>
      <c r="B142" s="55" t="s">
        <v>201</v>
      </c>
      <c r="C142" s="61">
        <f>(1/(2*PI()*C141*(fc/5)))*10^3</f>
        <v>15.915494309189533</v>
      </c>
      <c r="D142" s="55" t="s">
        <v>202</v>
      </c>
      <c r="E142" s="60"/>
    </row>
    <row r="143" spans="1:5" ht="18" customHeight="1">
      <c r="A143" s="55" t="s">
        <v>294</v>
      </c>
      <c r="B143" s="55" t="s">
        <v>210</v>
      </c>
      <c r="C143" s="102">
        <f>IF(C142&lt;10000,C144*10^INT(LOG(C142)),C145*10^INT(LOG(C142)))</f>
        <v>15</v>
      </c>
      <c r="D143" s="55" t="s">
        <v>202</v>
      </c>
    </row>
    <row r="144" spans="1:5" ht="18" hidden="1" customHeight="1">
      <c r="A144" s="54" t="s">
        <v>211</v>
      </c>
      <c r="C144" s="103">
        <f>IF((10^(LOG(C142)-INT(LOG(C142))))-VLOOKUP((10^(LOG(C142)-INT(LOG(C142)))),c_s1:C_f1,1)&lt;VLOOKUP((10^(LOG(C142)-INT(LOG(C142)))),c_s1:C_f1,2)-(10^(LOG(C142)-INT(LOG(C142)))),VLOOKUP((10^(LOG(C142)-INT(LOG(C142)))),c_s1:C_f1,1),VLOOKUP((10^(LOG(C142)-INT(LOG(C142)))),c_s1:C_f1,2))</f>
        <v>1.5</v>
      </c>
    </row>
    <row r="145" spans="1:5" ht="18" hidden="1" customHeight="1">
      <c r="A145" s="54" t="s">
        <v>212</v>
      </c>
      <c r="C145" s="103">
        <f>IF((10^(LOG(C142)-INT(LOG(C142))))-VLOOKUP((10^(LOG(C142)-INT(LOG(C142)))),C_s2:C_f2,1)&lt;VLOOKUP((10^(LOG(C142)-INT(LOG(C142)))),C_s2:C_f2,2)-(10^(LOG(C142)-INT(LOG(C142)))),VLOOKUP((10^(LOG(C142)-INT(LOG(C142)))),C_s2:C_f2,1),VLOOKUP((10^(LOG(C142)-INT(LOG(C142)))),C_s2:C_f2,2))</f>
        <v>1.5</v>
      </c>
    </row>
    <row r="146" spans="1:5" ht="18.75">
      <c r="A146" s="55" t="s">
        <v>325</v>
      </c>
      <c r="B146" s="55" t="s">
        <v>201</v>
      </c>
      <c r="C146" s="92">
        <v>10</v>
      </c>
      <c r="D146" s="55" t="s">
        <v>202</v>
      </c>
    </row>
    <row r="147" spans="1:5" ht="18.75">
      <c r="A147" s="64" t="s">
        <v>203</v>
      </c>
      <c r="B147" s="64" t="s">
        <v>209</v>
      </c>
      <c r="C147" s="93">
        <f>1000000/(2*PI()*rf*fc*2)</f>
        <v>1591.5494309189532</v>
      </c>
      <c r="D147" s="55" t="s">
        <v>62</v>
      </c>
      <c r="E147" s="65" t="s">
        <v>19</v>
      </c>
    </row>
    <row r="148" spans="1:5" ht="18.75">
      <c r="A148" s="55" t="s">
        <v>294</v>
      </c>
      <c r="B148" s="64" t="s">
        <v>209</v>
      </c>
      <c r="C148" s="102">
        <f>IF(C147&lt;10000,C149*10^INT(LOG(C147)),C150*10^INT(LOG(C147)))</f>
        <v>1500</v>
      </c>
      <c r="D148" s="55" t="s">
        <v>62</v>
      </c>
      <c r="E148" s="63"/>
    </row>
    <row r="149" spans="1:5" hidden="1">
      <c r="A149" s="54" t="s">
        <v>211</v>
      </c>
      <c r="B149" s="66"/>
      <c r="C149" s="103">
        <f>IF((10^(LOG(C147)-INT(LOG(C147))))-VLOOKUP((10^(LOG(C147)-INT(LOG(C147)))),c_s1:C_f1,1)&lt;VLOOKUP((10^(LOG(C147)-INT(LOG(C147)))),c_s1:C_f1,2)-(10^(LOG(C147)-INT(LOG(C147)))),VLOOKUP((10^(LOG(C147)-INT(LOG(C147)))),c_s1:C_f1,1),VLOOKUP((10^(LOG(C147)-INT(LOG(C147)))),c_s1:C_f1,2))</f>
        <v>1.5</v>
      </c>
    </row>
    <row r="150" spans="1:5" hidden="1">
      <c r="A150" s="54" t="s">
        <v>212</v>
      </c>
      <c r="B150" s="66"/>
      <c r="C150" s="103">
        <f>IF((10^(LOG(C147)-INT(LOG(C147))))-VLOOKUP((10^(LOG(C147)-INT(LOG(C147)))),C_s2:C_f2,1)&lt;VLOOKUP((10^(LOG(C147)-INT(LOG(C147)))),C_s2:C_f2,2)-(10^(LOG(C147)-INT(LOG(C147)))),VLOOKUP((10^(LOG(C147)-INT(LOG(C147)))),C_s2:C_f2,1),VLOOKUP((10^(LOG(C147)-INT(LOG(C147)))),C_s2:C_f2,2))</f>
        <v>1.5</v>
      </c>
    </row>
    <row r="151" spans="1:5" ht="18.75">
      <c r="A151" s="55" t="s">
        <v>325</v>
      </c>
      <c r="B151" s="55" t="s">
        <v>209</v>
      </c>
      <c r="C151" s="92">
        <v>1000</v>
      </c>
      <c r="D151" s="55" t="s">
        <v>62</v>
      </c>
    </row>
    <row r="152" spans="1:5">
      <c r="C152" s="92"/>
    </row>
    <row r="153" spans="1:5">
      <c r="C153" s="92"/>
    </row>
    <row r="154" spans="1:5">
      <c r="C154" s="92"/>
    </row>
    <row r="155" spans="1:5">
      <c r="C155" s="92"/>
    </row>
    <row r="156" spans="1:5">
      <c r="C156" s="92"/>
    </row>
    <row r="157" spans="1:5">
      <c r="C157" s="92"/>
    </row>
    <row r="158" spans="1:5">
      <c r="C158" s="92"/>
    </row>
    <row r="159" spans="1:5">
      <c r="C159" s="92"/>
    </row>
    <row r="160" spans="1:5">
      <c r="C160" s="92"/>
    </row>
    <row r="161" spans="1:6">
      <c r="C161" s="92"/>
    </row>
    <row r="162" spans="1:6">
      <c r="C162" s="92"/>
    </row>
    <row r="163" spans="1:6">
      <c r="C163" s="92"/>
    </row>
    <row r="164" spans="1:6">
      <c r="C164" s="92"/>
    </row>
    <row r="165" spans="1:6">
      <c r="C165" s="92"/>
    </row>
    <row r="166" spans="1:6">
      <c r="C166" s="92"/>
    </row>
    <row r="167" spans="1:6">
      <c r="C167" s="92"/>
    </row>
    <row r="168" spans="1:6">
      <c r="C168" s="92"/>
    </row>
    <row r="169" spans="1:6">
      <c r="C169" s="92"/>
    </row>
    <row r="170" spans="1:6">
      <c r="C170" s="92"/>
    </row>
    <row r="171" spans="1:6">
      <c r="C171" s="92"/>
    </row>
    <row r="172" spans="1:6">
      <c r="C172" s="92"/>
    </row>
    <row r="173" spans="1:6" ht="18.75">
      <c r="A173" s="80" t="s">
        <v>288</v>
      </c>
      <c r="B173" s="59"/>
      <c r="C173" s="100"/>
      <c r="D173" s="59"/>
      <c r="E173" s="80" t="s">
        <v>19</v>
      </c>
      <c r="F173" s="80"/>
    </row>
    <row r="174" spans="1:6" ht="18.75">
      <c r="A174" s="64" t="s">
        <v>214</v>
      </c>
      <c r="B174" s="64" t="s">
        <v>213</v>
      </c>
      <c r="C174" s="92">
        <v>25</v>
      </c>
      <c r="D174" s="55" t="s">
        <v>215</v>
      </c>
    </row>
    <row r="175" spans="1:6" ht="18.75">
      <c r="A175" s="64" t="s">
        <v>273</v>
      </c>
      <c r="B175" s="64" t="s">
        <v>216</v>
      </c>
      <c r="C175" s="93">
        <f>(C174)*(25)/(_va1+0.55)</f>
        <v>204.91803278688525</v>
      </c>
      <c r="D175" s="55" t="s">
        <v>202</v>
      </c>
    </row>
    <row r="176" spans="1:6" ht="18.75">
      <c r="A176" s="55" t="s">
        <v>294</v>
      </c>
      <c r="B176" s="64" t="s">
        <v>216</v>
      </c>
      <c r="C176" s="102">
        <f>IF(C175&lt;10000,C177*10^INT(LOG(C175)),C178*10^INT(LOG(C175)))</f>
        <v>220.00000000000003</v>
      </c>
      <c r="D176" s="55" t="s">
        <v>202</v>
      </c>
    </row>
    <row r="177" spans="1:6" hidden="1">
      <c r="A177" s="54" t="s">
        <v>211</v>
      </c>
      <c r="B177" s="66"/>
      <c r="C177" s="103">
        <f>IF((10^(LOG(C175)-INT(LOG(C175))))-VLOOKUP((10^(LOG(C175)-INT(LOG(C175)))),c_s1:C_f1,1)&lt;VLOOKUP((10^(LOG(C175)-INT(LOG(C175)))),c_s1:C_f1,2)-(10^(LOG(C175)-INT(LOG(C175)))),VLOOKUP((10^(LOG(C175)-INT(LOG(C175)))),c_s1:C_f1,1),VLOOKUP((10^(LOG(C175)-INT(LOG(C175)))),c_s1:C_f1,2))</f>
        <v>2.2000000000000002</v>
      </c>
    </row>
    <row r="178" spans="1:6" hidden="1">
      <c r="A178" s="54" t="s">
        <v>217</v>
      </c>
      <c r="B178" s="66"/>
      <c r="C178" s="103">
        <f>IF((10^(LOG(C175)-INT(LOG(C175))))-VLOOKUP((10^(LOG(C175)-INT(LOG(C175)))),C_s2:C_f2,1)&lt;VLOOKUP((10^(LOG(C175)-INT(LOG(C175)))),C_s2:C_f2,2)-(10^(LOG(C175)-INT(LOG(C175)))),VLOOKUP((10^(LOG(C175)-INT(LOG(C175)))),C_s2:C_f2,1),VLOOKUP((10^(LOG(C175)-INT(LOG(C175)))),C_s2:C_f2,2))</f>
        <v>2.2000000000000002</v>
      </c>
    </row>
    <row r="179" spans="1:6" ht="18.75">
      <c r="A179" s="55" t="s">
        <v>325</v>
      </c>
      <c r="B179" s="55" t="s">
        <v>216</v>
      </c>
      <c r="C179" s="92">
        <v>220</v>
      </c>
      <c r="D179" s="55" t="s">
        <v>202</v>
      </c>
    </row>
    <row r="180" spans="1:6" ht="18.75">
      <c r="A180" s="80" t="s">
        <v>313</v>
      </c>
      <c r="B180" s="59"/>
      <c r="C180" s="100"/>
      <c r="D180" s="59"/>
      <c r="E180" s="80" t="s">
        <v>19</v>
      </c>
      <c r="F180" s="80"/>
    </row>
    <row r="181" spans="1:6" ht="18.75">
      <c r="A181" s="64" t="s">
        <v>274</v>
      </c>
      <c r="B181" s="64" t="s">
        <v>218</v>
      </c>
      <c r="C181" s="93">
        <f>tdelay</f>
        <v>417.25809432854311</v>
      </c>
      <c r="D181" s="55" t="s">
        <v>132</v>
      </c>
    </row>
    <row r="182" spans="1:6" ht="18.75">
      <c r="A182" s="64" t="s">
        <v>312</v>
      </c>
      <c r="B182" s="64" t="s">
        <v>218</v>
      </c>
      <c r="C182" s="92">
        <v>420</v>
      </c>
      <c r="D182" s="55" t="s">
        <v>132</v>
      </c>
    </row>
    <row r="183" spans="1:6" ht="18.75">
      <c r="A183" s="64" t="s">
        <v>307</v>
      </c>
      <c r="B183" s="64" t="s">
        <v>304</v>
      </c>
      <c r="C183" s="92">
        <v>24</v>
      </c>
      <c r="D183" s="55" t="s">
        <v>208</v>
      </c>
    </row>
    <row r="184" spans="1:6" ht="18.75">
      <c r="A184" s="64" t="s">
        <v>306</v>
      </c>
      <c r="B184" s="64" t="s">
        <v>305</v>
      </c>
      <c r="C184" s="93">
        <f>IF(tabset&gt;155, 0.2, 1.8)</f>
        <v>0.2</v>
      </c>
      <c r="D184" s="55" t="s">
        <v>17</v>
      </c>
    </row>
    <row r="185" spans="1:6" ht="18.75">
      <c r="A185" s="64" t="s">
        <v>308</v>
      </c>
      <c r="B185" s="64" t="s">
        <v>309</v>
      </c>
      <c r="C185" s="93">
        <f>C183*C184/(5-C184)</f>
        <v>1.0000000000000002</v>
      </c>
      <c r="D185" s="55" t="s">
        <v>208</v>
      </c>
    </row>
    <row r="186" spans="1:6" ht="18.75">
      <c r="A186" s="55" t="s">
        <v>295</v>
      </c>
      <c r="B186" s="64" t="s">
        <v>309</v>
      </c>
      <c r="C186" s="61">
        <f>(IF((10^(LOG(C185)-INT(LOG(C185)))*100)-VLOOKUP((10^(LOG(C185)-INT(LOG(C185)))*100),E48_s:E48_f,1)&lt;VLOOKUP((10^(LOG(C185)-INT(LOG(C185)))*100),E48_s:E48_f,2)-(10^(LOG(C185)-INT(LOG(C185)))*100),VLOOKUP((10^(LOG(C185)-INT(LOG(C185)))*100),E48_s:E48_f,1),VLOOKUP((10^(LOG(C185)-INT(LOG(C185)))*100),E48_s:E48_f,2)))*10^INT(LOG(C185))/100</f>
        <v>1</v>
      </c>
      <c r="D186" s="55" t="s">
        <v>208</v>
      </c>
    </row>
    <row r="187" spans="1:6" ht="18.75">
      <c r="A187" s="64" t="s">
        <v>310</v>
      </c>
      <c r="B187" s="64" t="s">
        <v>309</v>
      </c>
      <c r="C187" s="92">
        <v>1</v>
      </c>
      <c r="D187" s="55" t="s">
        <v>208</v>
      </c>
    </row>
    <row r="188" spans="1:6" ht="18.75">
      <c r="A188" s="64" t="s">
        <v>311</v>
      </c>
      <c r="B188" s="64" t="s">
        <v>305</v>
      </c>
      <c r="C188" s="93">
        <f>5*C187/(C183+C187)</f>
        <v>0.2</v>
      </c>
      <c r="D188" s="55" t="s">
        <v>17</v>
      </c>
    </row>
    <row r="189" spans="1:6" ht="18.75">
      <c r="A189" s="55" t="s">
        <v>275</v>
      </c>
      <c r="B189" s="64" t="s">
        <v>219</v>
      </c>
      <c r="C189" s="93">
        <f>(tabset-5)*(0.15+(C188*1.46))/5</f>
        <v>36.685999999999993</v>
      </c>
      <c r="D189" s="55" t="s">
        <v>208</v>
      </c>
    </row>
    <row r="190" spans="1:6" ht="18.75">
      <c r="A190" s="55" t="s">
        <v>295</v>
      </c>
      <c r="B190" s="64" t="s">
        <v>219</v>
      </c>
      <c r="C190" s="61">
        <f>(IF((10^(LOG(C189)-INT(LOG(C189)))*100)-VLOOKUP((10^(LOG(C189)-INT(LOG(C189)))*100),E48_s:E48_f,1)&lt;VLOOKUP((10^(LOG(C189)-INT(LOG(C189)))*100),E48_s:E48_f,2)-(10^(LOG(C189)-INT(LOG(C189)))*100),VLOOKUP((10^(LOG(C189)-INT(LOG(C189)))*100),E48_s:E48_f,1),VLOOKUP((10^(LOG(C189)-INT(LOG(C189)))*100),E48_s:E48_f,2)))*10^INT(LOG(C189))/100</f>
        <v>36.5</v>
      </c>
      <c r="D190" s="55" t="s">
        <v>208</v>
      </c>
    </row>
    <row r="191" spans="1:6" ht="18.75">
      <c r="A191" s="55" t="s">
        <v>326</v>
      </c>
      <c r="B191" s="64" t="s">
        <v>219</v>
      </c>
      <c r="C191" s="92">
        <v>36</v>
      </c>
      <c r="D191" s="55" t="s">
        <v>208</v>
      </c>
    </row>
    <row r="192" spans="1:6" ht="18.75">
      <c r="A192" s="80" t="s">
        <v>314</v>
      </c>
      <c r="B192" s="59"/>
      <c r="C192" s="100"/>
      <c r="D192" s="59"/>
      <c r="E192" s="80" t="s">
        <v>19</v>
      </c>
      <c r="F192" s="80"/>
    </row>
    <row r="193" spans="1:6" ht="18.75">
      <c r="A193" s="55" t="s">
        <v>276</v>
      </c>
      <c r="B193" s="64" t="s">
        <v>221</v>
      </c>
      <c r="C193" s="93">
        <f>tdelay</f>
        <v>417.25809432854311</v>
      </c>
      <c r="D193" s="55" t="s">
        <v>132</v>
      </c>
    </row>
    <row r="194" spans="1:6" ht="18.75">
      <c r="A194" s="64" t="s">
        <v>312</v>
      </c>
      <c r="B194" s="64" t="s">
        <v>221</v>
      </c>
      <c r="C194" s="92">
        <v>420</v>
      </c>
      <c r="D194" s="55" t="s">
        <v>132</v>
      </c>
    </row>
    <row r="195" spans="1:6" ht="18.75">
      <c r="A195" s="55" t="s">
        <v>275</v>
      </c>
      <c r="B195" s="64" t="s">
        <v>220</v>
      </c>
      <c r="C195" s="93">
        <f>(tcdset-5)*(0.15+(vadel*1.46))/5</f>
        <v>36.685999999999993</v>
      </c>
      <c r="D195" s="55" t="s">
        <v>208</v>
      </c>
    </row>
    <row r="196" spans="1:6" ht="18.75">
      <c r="A196" s="55" t="s">
        <v>295</v>
      </c>
      <c r="B196" s="64" t="s">
        <v>220</v>
      </c>
      <c r="C196" s="61">
        <f>(IF((10^(LOG(C195)-INT(LOG(C195)))*100)-VLOOKUP((10^(LOG(C195)-INT(LOG(C195)))*100),E48_s:E48_f,1)&lt;VLOOKUP((10^(LOG(C195)-INT(LOG(C195)))*100),E48_s:E48_f,2)-(10^(LOG(C195)-INT(LOG(C195)))*100),VLOOKUP((10^(LOG(C195)-INT(LOG(C195)))*100),E48_s:E48_f,1),VLOOKUP((10^(LOG(C195)-INT(LOG(C195)))*100),E48_s:E48_f,2)))*10^INT(LOG(C195))/100</f>
        <v>36.5</v>
      </c>
      <c r="D196" s="55" t="s">
        <v>208</v>
      </c>
    </row>
    <row r="197" spans="1:6" ht="18.75">
      <c r="A197" s="55" t="s">
        <v>326</v>
      </c>
      <c r="B197" s="64" t="s">
        <v>220</v>
      </c>
      <c r="C197" s="92">
        <v>36</v>
      </c>
      <c r="D197" s="55" t="s">
        <v>208</v>
      </c>
    </row>
    <row r="198" spans="1:6" ht="18.75">
      <c r="A198" s="80" t="s">
        <v>324</v>
      </c>
      <c r="B198" s="59"/>
      <c r="C198" s="100"/>
      <c r="D198" s="59"/>
      <c r="E198" s="80" t="s">
        <v>19</v>
      </c>
      <c r="F198" s="80"/>
    </row>
    <row r="199" spans="1:6" ht="18.75">
      <c r="A199" s="55" t="s">
        <v>222</v>
      </c>
      <c r="B199" s="55" t="s">
        <v>321</v>
      </c>
      <c r="C199" s="61">
        <f>C182/2</f>
        <v>210</v>
      </c>
      <c r="D199" s="55" t="s">
        <v>132</v>
      </c>
    </row>
    <row r="200" spans="1:6" ht="18.75">
      <c r="A200" s="55" t="s">
        <v>322</v>
      </c>
      <c r="B200" s="55" t="s">
        <v>321</v>
      </c>
      <c r="C200" s="92">
        <v>300</v>
      </c>
      <c r="D200" s="55" t="s">
        <v>132</v>
      </c>
    </row>
    <row r="201" spans="1:6" ht="18.75">
      <c r="A201" s="64" t="s">
        <v>316</v>
      </c>
      <c r="B201" s="55" t="s">
        <v>315</v>
      </c>
      <c r="C201" s="92">
        <v>24</v>
      </c>
      <c r="D201" s="55" t="s">
        <v>208</v>
      </c>
    </row>
    <row r="202" spans="1:6" ht="18.75">
      <c r="A202" s="64" t="s">
        <v>319</v>
      </c>
      <c r="B202" s="55" t="s">
        <v>320</v>
      </c>
      <c r="C202" s="93">
        <f>IF(tafset&lt;170, 0.2,1.7)</f>
        <v>1.7</v>
      </c>
      <c r="D202" s="55" t="s">
        <v>17</v>
      </c>
    </row>
    <row r="203" spans="1:6" ht="18.75">
      <c r="A203" s="64" t="s">
        <v>317</v>
      </c>
      <c r="B203" s="55" t="s">
        <v>318</v>
      </c>
      <c r="C203" s="93">
        <f>C202*C201/(5-C202)</f>
        <v>12.363636363636363</v>
      </c>
      <c r="D203" s="55" t="s">
        <v>208</v>
      </c>
    </row>
    <row r="204" spans="1:6" ht="18.75">
      <c r="A204" s="55" t="s">
        <v>295</v>
      </c>
      <c r="B204" s="55" t="s">
        <v>318</v>
      </c>
      <c r="C204" s="61">
        <f>(IF((10^(LOG(C203)-INT(LOG(C203)))*100)-VLOOKUP((10^(LOG(C203)-INT(LOG(C203)))*100),E48_s:E48_f,1)&lt;VLOOKUP((10^(LOG(C203)-INT(LOG(C203)))*100),E48_s:E48_f,2)-(10^(LOG(C203)-INT(LOG(C203)))*100),VLOOKUP((10^(LOG(C203)-INT(LOG(C203)))*100),E48_s:E48_f,1),VLOOKUP((10^(LOG(C203)-INT(LOG(C203)))*100),E48_s:E48_f,2)))*10^INT(LOG(C203))/100</f>
        <v>12.1</v>
      </c>
      <c r="D204" s="55" t="s">
        <v>208</v>
      </c>
    </row>
    <row r="205" spans="1:6" ht="18.75">
      <c r="A205" s="55" t="s">
        <v>323</v>
      </c>
      <c r="B205" s="55" t="s">
        <v>318</v>
      </c>
      <c r="C205" s="92">
        <v>12</v>
      </c>
      <c r="D205" s="55" t="s">
        <v>208</v>
      </c>
    </row>
    <row r="206" spans="1:6" ht="18.75">
      <c r="A206" s="64" t="s">
        <v>319</v>
      </c>
      <c r="B206" s="55" t="s">
        <v>320</v>
      </c>
      <c r="C206" s="61">
        <f>5*C205/(C205+C201)</f>
        <v>1.6666666666666667</v>
      </c>
      <c r="D206" s="55" t="s">
        <v>17</v>
      </c>
    </row>
    <row r="207" spans="1:6" ht="18.75">
      <c r="A207" s="55" t="s">
        <v>275</v>
      </c>
      <c r="B207" s="64" t="s">
        <v>223</v>
      </c>
      <c r="C207" s="93">
        <f>(tafset-4)*(2.65-(C206*1.32))/5</f>
        <v>26.639999999999986</v>
      </c>
      <c r="D207" s="55" t="s">
        <v>208</v>
      </c>
    </row>
    <row r="208" spans="1:6" ht="18.75">
      <c r="A208" s="55" t="s">
        <v>295</v>
      </c>
      <c r="B208" s="64" t="s">
        <v>223</v>
      </c>
      <c r="C208" s="61">
        <f>(IF((10^(LOG(C207)-INT(LOG(C207)))*100)-VLOOKUP((10^(LOG(C207)-INT(LOG(C207)))*100),E48_s:E48_f,1)&lt;VLOOKUP((10^(LOG(C207)-INT(LOG(C207)))*100),E48_s:E48_f,2)-(10^(LOG(C207)-INT(LOG(C207)))*100),VLOOKUP((10^(LOG(C207)-INT(LOG(C207)))*100),E48_s:E48_f,1),VLOOKUP((10^(LOG(C207)-INT(LOG(C207)))*100),E48_s:E48_f,2)))*10^INT(LOG(C207))/100</f>
        <v>26.1</v>
      </c>
      <c r="D208" s="55" t="s">
        <v>208</v>
      </c>
    </row>
    <row r="209" spans="1:6" ht="18.75">
      <c r="A209" s="55" t="s">
        <v>327</v>
      </c>
      <c r="B209" s="64" t="s">
        <v>223</v>
      </c>
      <c r="C209" s="92">
        <v>24</v>
      </c>
      <c r="D209" s="55" t="s">
        <v>208</v>
      </c>
    </row>
    <row r="210" spans="1:6">
      <c r="A210" s="80" t="s">
        <v>224</v>
      </c>
      <c r="B210" s="68"/>
      <c r="C210" s="100"/>
      <c r="D210" s="59"/>
      <c r="E210" s="80" t="s">
        <v>19</v>
      </c>
      <c r="F210" s="80"/>
    </row>
    <row r="211" spans="1:6" ht="18.75">
      <c r="A211" s="55" t="s">
        <v>225</v>
      </c>
      <c r="B211" s="55" t="s">
        <v>226</v>
      </c>
      <c r="C211" s="92">
        <v>100</v>
      </c>
      <c r="D211" s="55" t="s">
        <v>132</v>
      </c>
    </row>
    <row r="212" spans="1:6" ht="18.75">
      <c r="A212" s="55" t="s">
        <v>228</v>
      </c>
      <c r="B212" s="55" t="s">
        <v>227</v>
      </c>
      <c r="C212" s="61">
        <f>(C211-15)/6.6</f>
        <v>12.878787878787879</v>
      </c>
      <c r="D212" s="55" t="s">
        <v>208</v>
      </c>
    </row>
    <row r="213" spans="1:6" ht="18.75">
      <c r="A213" s="55" t="s">
        <v>295</v>
      </c>
      <c r="B213" s="55" t="s">
        <v>227</v>
      </c>
      <c r="C213" s="61">
        <f>(IF((10^(LOG(C212)-INT(LOG(C212)))*100)-VLOOKUP((10^(LOG(C212)-INT(LOG(C212)))*100),E48_s:E48_f,1)&lt;VLOOKUP((10^(LOG(C212)-INT(LOG(C212)))*100),E48_s:E48_f,2)-(10^(LOG(C212)-INT(LOG(C212)))*100),VLOOKUP((10^(LOG(C212)-INT(LOG(C212)))*100),E48_s:E48_f,1),VLOOKUP((10^(LOG(C212)-INT(LOG(C212)))*100),E48_s:E48_f,2)))*10^INT(LOG(C212))/100</f>
        <v>12.7</v>
      </c>
      <c r="D213" s="55" t="s">
        <v>208</v>
      </c>
    </row>
    <row r="214" spans="1:6" ht="18.75">
      <c r="A214" s="55" t="s">
        <v>323</v>
      </c>
      <c r="B214" s="55" t="s">
        <v>227</v>
      </c>
      <c r="C214" s="92">
        <v>12.1</v>
      </c>
      <c r="D214" s="55" t="s">
        <v>208</v>
      </c>
    </row>
    <row r="215" spans="1:6">
      <c r="A215" s="80" t="s">
        <v>229</v>
      </c>
      <c r="B215" s="68"/>
      <c r="C215" s="100"/>
      <c r="D215" s="59"/>
      <c r="E215" s="80" t="s">
        <v>19</v>
      </c>
      <c r="F215" s="80"/>
    </row>
    <row r="216" spans="1:6" ht="18.75">
      <c r="A216" s="55" t="s">
        <v>230</v>
      </c>
      <c r="B216" s="55" t="s">
        <v>231</v>
      </c>
      <c r="C216" s="61">
        <f>(((2.5*10^3)/(fs/2))-1)*2.5</f>
        <v>60</v>
      </c>
      <c r="D216" s="55" t="s">
        <v>208</v>
      </c>
      <c r="E216" s="55" t="s">
        <v>19</v>
      </c>
    </row>
    <row r="217" spans="1:6" ht="18.75">
      <c r="A217" s="55" t="s">
        <v>295</v>
      </c>
      <c r="B217" s="55" t="s">
        <v>231</v>
      </c>
      <c r="C217" s="61">
        <f>(IF((10^(LOG(C216)-INT(LOG(C216)))*100)-VLOOKUP((10^(LOG(C216)-INT(LOG(C216)))*100),E48_s:E48_f,1)&lt;VLOOKUP((10^(LOG(C216)-INT(LOG(C216)))*100),E48_s:E48_f,2)-(10^(LOG(C216)-INT(LOG(C216)))*100),VLOOKUP((10^(LOG(C216)-INT(LOG(C216)))*100),E48_s:E48_f,1),VLOOKUP((10^(LOG(C216)-INT(LOG(C216)))*100),E48_s:E48_f,2)))*10^INT(LOG(C216))/100</f>
        <v>59</v>
      </c>
      <c r="D217" s="55" t="s">
        <v>208</v>
      </c>
    </row>
    <row r="218" spans="1:6" ht="18.75">
      <c r="A218" s="55" t="s">
        <v>323</v>
      </c>
      <c r="B218" s="55" t="s">
        <v>231</v>
      </c>
      <c r="C218" s="92">
        <v>62</v>
      </c>
      <c r="D218" s="55" t="s">
        <v>208</v>
      </c>
    </row>
    <row r="219" spans="1:6">
      <c r="A219" s="80" t="s">
        <v>232</v>
      </c>
      <c r="B219" s="68"/>
      <c r="C219" s="100"/>
      <c r="D219" s="59"/>
      <c r="E219" s="80" t="s">
        <v>19</v>
      </c>
      <c r="F219" s="80"/>
    </row>
    <row r="220" spans="1:6" ht="18.75">
      <c r="A220" s="55" t="s">
        <v>277</v>
      </c>
      <c r="B220" s="55" t="s">
        <v>44</v>
      </c>
      <c r="C220" s="61">
        <f>(vin*(1-dtyp))/(lmag2*fs)</f>
        <v>6.1053929121725713E-2</v>
      </c>
      <c r="D220" s="55" t="s">
        <v>34</v>
      </c>
    </row>
    <row r="221" spans="1:6" ht="18.75">
      <c r="A221" s="55" t="s">
        <v>334</v>
      </c>
      <c r="B221" s="55" t="s">
        <v>332</v>
      </c>
      <c r="C221" s="61">
        <f>fs*0.2*0.001</f>
        <v>0.04</v>
      </c>
      <c r="D221" s="55" t="s">
        <v>233</v>
      </c>
    </row>
    <row r="222" spans="1:6" ht="18.75">
      <c r="A222" s="55" t="s">
        <v>335</v>
      </c>
      <c r="B222" s="55" t="s">
        <v>333</v>
      </c>
      <c r="C222" s="61">
        <f>((((dilout/(_taa1*2))-C220)*RS*(1-dtyp)*fs)/_ta2)*0.001</f>
        <v>2.5230866252200349E-3</v>
      </c>
      <c r="D222" s="55" t="s">
        <v>233</v>
      </c>
      <c r="E222" s="55" t="s">
        <v>19</v>
      </c>
    </row>
    <row r="223" spans="1:6" ht="18.75">
      <c r="A223" s="55" t="s">
        <v>234</v>
      </c>
      <c r="B223" s="55" t="s">
        <v>235</v>
      </c>
      <c r="C223" s="93">
        <f>IF(Vslope1&gt;Vslope2, Vslope1, Vslope2)</f>
        <v>0.04</v>
      </c>
      <c r="D223" s="55" t="s">
        <v>233</v>
      </c>
      <c r="E223" s="55" t="s">
        <v>19</v>
      </c>
    </row>
    <row r="224" spans="1:6" ht="18.75">
      <c r="A224" s="55" t="s">
        <v>236</v>
      </c>
      <c r="B224" s="55" t="s">
        <v>237</v>
      </c>
      <c r="C224" s="61">
        <f>2.5/(C223*0.5)</f>
        <v>125</v>
      </c>
      <c r="D224" s="55" t="s">
        <v>208</v>
      </c>
      <c r="E224" s="60"/>
    </row>
    <row r="225" spans="1:6" ht="18.75">
      <c r="A225" s="55" t="s">
        <v>295</v>
      </c>
      <c r="B225" s="55" t="s">
        <v>237</v>
      </c>
      <c r="C225" s="104">
        <f>(IF((10^(LOG(C224)-INT(LOG(C224)))*100)-VLOOKUP((10^(LOG(C224)-INT(LOG(C224)))*100),E48_s:E48_f,1)&lt;VLOOKUP((10^(LOG(C224)-INT(LOG(C224)))*100),E48_s:E48_f,2)-(10^(LOG(C224)-INT(LOG(C224)))*100),VLOOKUP((10^(LOG(C224)-INT(LOG(C224)))*100),E48_s:E48_f,1),VLOOKUP((10^(LOG(C224)-INT(LOG(C224)))*100),E48_s:E48_f,2)))*10^INT(LOG(C224))/100</f>
        <v>127</v>
      </c>
      <c r="D225" s="55" t="s">
        <v>208</v>
      </c>
    </row>
    <row r="226" spans="1:6" ht="18.75">
      <c r="A226" s="55" t="s">
        <v>323</v>
      </c>
      <c r="B226" s="55" t="s">
        <v>237</v>
      </c>
      <c r="C226" s="92">
        <v>130</v>
      </c>
      <c r="D226" s="55" t="s">
        <v>208</v>
      </c>
    </row>
    <row r="227" spans="1:6">
      <c r="A227" s="80" t="s">
        <v>278</v>
      </c>
      <c r="B227" s="68"/>
      <c r="C227" s="100"/>
      <c r="D227" s="59"/>
      <c r="E227" s="80" t="s">
        <v>19</v>
      </c>
      <c r="F227" s="80"/>
    </row>
    <row r="228" spans="1:6" ht="18.75">
      <c r="A228" s="55" t="s">
        <v>238</v>
      </c>
      <c r="B228" s="55" t="s">
        <v>239</v>
      </c>
      <c r="C228" s="61">
        <f>(((pout*0.15/VOUT)+(dilout/2))*RS)/(_ta1*_ta2)</f>
        <v>0.36388069924655292</v>
      </c>
      <c r="D228" s="55" t="s">
        <v>17</v>
      </c>
    </row>
    <row r="229" spans="1:6" ht="18.75">
      <c r="A229" s="55" t="s">
        <v>181</v>
      </c>
      <c r="B229" s="55" t="s">
        <v>240</v>
      </c>
      <c r="C229" s="92">
        <v>1</v>
      </c>
      <c r="D229" s="55" t="s">
        <v>208</v>
      </c>
    </row>
    <row r="230" spans="1:6" ht="18.75">
      <c r="A230" s="55" t="s">
        <v>242</v>
      </c>
      <c r="B230" s="55" t="s">
        <v>241</v>
      </c>
      <c r="C230" s="61">
        <f>(C229*(5-C228)/C228)</f>
        <v>12.740767263427109</v>
      </c>
      <c r="D230" s="55" t="s">
        <v>208</v>
      </c>
    </row>
    <row r="231" spans="1:6" ht="18.75">
      <c r="A231" s="55" t="s">
        <v>295</v>
      </c>
      <c r="B231" s="55" t="s">
        <v>241</v>
      </c>
      <c r="C231" s="104">
        <f>(IF((10^(LOG(C230)-INT(LOG(C230)))*100)-VLOOKUP((10^(LOG(C230)-INT(LOG(C230)))*100),E48_s:E48_f,1)&lt;VLOOKUP((10^(LOG(C230)-INT(LOG(C230)))*100),E48_s:E48_f,2)-(10^(LOG(C230)-INT(LOG(C230)))*100),VLOOKUP((10^(LOG(C230)-INT(LOG(C230)))*100),E48_s:E48_f,1),VLOOKUP((10^(LOG(C230)-INT(LOG(C230)))*100),E48_s:E48_f,2)))*10^INT(LOG(C230))/100</f>
        <v>12.7</v>
      </c>
      <c r="D231" s="55" t="s">
        <v>208</v>
      </c>
    </row>
    <row r="232" spans="1:6" ht="18.75">
      <c r="A232" s="55" t="s">
        <v>323</v>
      </c>
      <c r="B232" s="55" t="s">
        <v>241</v>
      </c>
      <c r="C232" s="92">
        <v>15</v>
      </c>
      <c r="D232" s="55" t="s">
        <v>208</v>
      </c>
    </row>
  </sheetData>
  <sheetProtection password="ECDD" sheet="1" formatColumns="0" formatRows="0" selectLockedCells="1"/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L30"/>
  <sheetViews>
    <sheetView topLeftCell="A16" workbookViewId="0">
      <selection activeCell="K10" sqref="K10"/>
    </sheetView>
  </sheetViews>
  <sheetFormatPr defaultRowHeight="12.75"/>
  <sheetData>
    <row r="30" spans="12:12">
      <c r="L30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  <legacyDrawing r:id="rId3"/>
  <oleObjects>
    <oleObject progId="Visio.Drawing.6" shapeId="5125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2" sqref="I22"/>
    </sheetView>
  </sheetViews>
  <sheetFormatPr defaultRowHeight="12.75"/>
  <sheetData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G31"/>
  <sheetViews>
    <sheetView topLeftCell="A7" workbookViewId="0">
      <selection activeCell="I3" sqref="I3"/>
    </sheetView>
  </sheetViews>
  <sheetFormatPr defaultRowHeight="12.75"/>
  <sheetData>
    <row r="31" spans="7:7">
      <c r="G31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01"/>
  <sheetViews>
    <sheetView workbookViewId="0">
      <selection sqref="A1:IV65536"/>
    </sheetView>
  </sheetViews>
  <sheetFormatPr defaultColWidth="9.140625" defaultRowHeight="12.75"/>
  <cols>
    <col min="1" max="1" width="9.140625" style="73"/>
    <col min="2" max="2" width="10.140625" style="73" customWidth="1"/>
    <col min="3" max="3" width="9.140625" style="73"/>
    <col min="4" max="4" width="12.42578125" style="73" customWidth="1"/>
    <col min="5" max="5" width="21.5703125" style="73" customWidth="1"/>
    <col min="6" max="6" width="15.42578125" style="73" customWidth="1"/>
    <col min="7" max="7" width="21.140625" style="73" customWidth="1"/>
    <col min="8" max="8" width="9.140625" style="73"/>
    <col min="9" max="9" width="14.28515625" style="73" customWidth="1"/>
    <col min="10" max="10" width="17.140625" style="73" customWidth="1"/>
    <col min="11" max="11" width="11.85546875" style="73" customWidth="1"/>
    <col min="12" max="12" width="13.5703125" style="73" customWidth="1"/>
    <col min="13" max="16384" width="9.140625" style="73"/>
  </cols>
  <sheetData>
    <row r="1" spans="1:18" ht="42.75">
      <c r="A1" s="73" t="s">
        <v>245</v>
      </c>
      <c r="B1" s="73" t="s">
        <v>260</v>
      </c>
      <c r="C1" s="73" t="s">
        <v>190</v>
      </c>
      <c r="D1" s="73" t="s">
        <v>246</v>
      </c>
      <c r="E1" s="54" t="s">
        <v>247</v>
      </c>
      <c r="F1" s="73" t="s">
        <v>248</v>
      </c>
      <c r="G1" s="73" t="s">
        <v>249</v>
      </c>
      <c r="H1" s="73" t="s">
        <v>250</v>
      </c>
      <c r="I1" s="77" t="s">
        <v>251</v>
      </c>
      <c r="J1" s="77" t="s">
        <v>252</v>
      </c>
      <c r="K1" s="77" t="s">
        <v>253</v>
      </c>
      <c r="L1" s="73" t="s">
        <v>254</v>
      </c>
      <c r="M1" s="73" t="s">
        <v>255</v>
      </c>
      <c r="N1" s="73" t="s">
        <v>256</v>
      </c>
      <c r="O1" s="73" t="s">
        <v>261</v>
      </c>
      <c r="P1" s="79" t="s">
        <v>258</v>
      </c>
      <c r="Q1" s="79" t="s">
        <v>259</v>
      </c>
      <c r="R1" s="73" t="s">
        <v>257</v>
      </c>
    </row>
    <row r="2" spans="1:18" ht="15">
      <c r="A2" s="74">
        <f>1</f>
        <v>1</v>
      </c>
      <c r="B2" s="73">
        <v>100</v>
      </c>
      <c r="C2" s="73">
        <f t="shared" ref="C2:C33" si="0">_ta1*_ta2*(rload/RS)</f>
        <v>803.83488491048581</v>
      </c>
      <c r="D2" s="54" t="str">
        <f t="shared" ref="D2:D33" si="1">IMDIV((COMPLEX(1,2*PI()*(B2)*(esrcout*0.001)*(cout*0.000001))),(COMPLEX(1,2*PI()*(B2)*rload*(cout*0.000001))))</f>
        <v>0.000492794877035157-0.0176072042307011i</v>
      </c>
      <c r="E2" s="54" t="str">
        <f t="shared" ref="E2:E33" si="2">IMDIV(1,(COMPLEX((1-(B2/(fpp*1000))^2),(B2/(fpp*1000)))))</f>
        <v>0.999999999984-0.002000008i</v>
      </c>
      <c r="F2" s="73" t="str">
        <f t="shared" ref="F2:F33" si="3">IMPRODUCT(D2,E2)</f>
        <v>0.000457580327708236-0.0176081898241158i</v>
      </c>
      <c r="G2" s="73" t="str">
        <f t="shared" ref="G2:G33" si="4">IMPRODUCT(C2,F2)</f>
        <v>0.367819030060652-14.1540772407501i</v>
      </c>
      <c r="H2" s="76">
        <f t="shared" ref="H2:H33" si="5">IMABS(G2)</f>
        <v>14.158855652064354</v>
      </c>
      <c r="I2" s="54" t="str">
        <f t="shared" ref="I2:I33" si="6">IMDIV((COMPLEX(1,(2*PI()*B2*(rf*1000)*(Cz*0.000000001)))),(COMPLEX(0,2*PI()*B2*((Cz*0.000000001)+(Cp*0.000000000001))*(RII*1000))))</f>
        <v>0.0826446280991736-1.31533010819748i</v>
      </c>
      <c r="J2" s="78" t="str">
        <f t="shared" ref="J2:J33" si="7">IMDIV(1,(COMPLEX(1,2*PI()*B2*(((Cz*0.000000001)*(Cp*0.000000000001))/((Cz*0.000000001)+(Cp*0.000000000001)))*(rf*1000))))</f>
        <v>0.999967374273064-0.00571180028517406i</v>
      </c>
      <c r="K2" s="78" t="str">
        <f t="shared" ref="K2:K33" si="8">IMPRODUCT(I2,J2)</f>
        <v>0.0751290288710041-1.31575924420688i</v>
      </c>
      <c r="L2" s="78" t="str">
        <f t="shared" ref="L2:L33" si="9">IMPRODUCT(G2,K2)</f>
        <v>-18.5957240862064-1.54734336666025i</v>
      </c>
      <c r="M2" s="73">
        <f t="shared" ref="M2:M33" si="10">20*LOG(IMABS(L2))</f>
        <v>25.418228120725523</v>
      </c>
      <c r="N2" s="73">
        <f t="shared" ref="N2:N33" si="11">(180/PI())*IMARGUMENT(L2)+180</f>
        <v>4.7566029606774691</v>
      </c>
      <c r="O2" s="73">
        <f t="shared" ref="O2:O55" si="12">IF(N2&gt;180,-(360-N2),N2)</f>
        <v>4.7566029606774691</v>
      </c>
      <c r="P2" s="73">
        <v>48.311999999999998</v>
      </c>
      <c r="Q2" s="73">
        <v>11.617000000000001</v>
      </c>
      <c r="R2" s="73">
        <f>B2</f>
        <v>100</v>
      </c>
    </row>
    <row r="3" spans="1:18" ht="15">
      <c r="A3" s="74">
        <f>1+A2</f>
        <v>2</v>
      </c>
      <c r="B3" s="73">
        <v>1000</v>
      </c>
      <c r="C3" s="73">
        <f t="shared" si="0"/>
        <v>803.83488491048581</v>
      </c>
      <c r="D3" s="54" t="str">
        <f t="shared" si="1"/>
        <v>0.000185731005528182-0.00176126134326256i</v>
      </c>
      <c r="E3" s="54" t="str">
        <f t="shared" si="2"/>
        <v>0.999999839936-0.0200079999987195i</v>
      </c>
      <c r="F3" s="73" t="str">
        <f t="shared" si="3"/>
        <v>0.000150491658845592-0.00176497716730639i</v>
      </c>
      <c r="G3" s="73" t="str">
        <f t="shared" si="4"/>
        <v>0.120970445268135-1.41875021815137i</v>
      </c>
      <c r="H3" s="76">
        <f t="shared" si="5"/>
        <v>1.4238981810975568</v>
      </c>
      <c r="I3" s="54" t="str">
        <f t="shared" si="6"/>
        <v>0.0826446280991736-0.131533010819748i</v>
      </c>
      <c r="J3" s="78" t="str">
        <f t="shared" si="7"/>
        <v>0.996747931315805-0.0569341087000464i</v>
      </c>
      <c r="K3" s="78" t="str">
        <f t="shared" si="8"/>
        <v>0.0748871473565594-0.135810554673996i</v>
      </c>
      <c r="L3" s="78" t="str">
        <f t="shared" si="9"/>
        <v>-0.183622122510407-0.122675219919878i</v>
      </c>
      <c r="M3" s="73">
        <f t="shared" si="10"/>
        <v>-13.118802522426957</v>
      </c>
      <c r="N3" s="73">
        <f t="shared" si="11"/>
        <v>33.746298130251205</v>
      </c>
      <c r="O3" s="73">
        <f t="shared" si="12"/>
        <v>33.746298130251205</v>
      </c>
    </row>
    <row r="4" spans="1:18" ht="15">
      <c r="A4" s="74">
        <f t="shared" ref="A4:A67" si="13">1+A3</f>
        <v>3</v>
      </c>
      <c r="B4" s="73">
        <f t="shared" ref="B4:B35" si="14">(fs*1000/2)*(A4/100)</f>
        <v>3000</v>
      </c>
      <c r="C4" s="73">
        <f t="shared" si="0"/>
        <v>803.83488491048581</v>
      </c>
      <c r="D4" s="54" t="str">
        <f t="shared" si="1"/>
        <v>0.000182973124015463-0.00058708873383833i</v>
      </c>
      <c r="E4" s="54" t="str">
        <f t="shared" si="2"/>
        <v>0.999986993344607-0.0602159971905624i</v>
      </c>
      <c r="F4" s="73" t="str">
        <f t="shared" si="3"/>
        <v>0.000147618610599673-0.000598099006899147i</v>
      </c>
      <c r="G4" s="73" t="str">
        <f t="shared" si="4"/>
        <v>0.118660988862034-0.480772846375852i</v>
      </c>
      <c r="H4" s="76">
        <f t="shared" si="5"/>
        <v>0.49519991931547641</v>
      </c>
      <c r="I4" s="54" t="str">
        <f t="shared" si="6"/>
        <v>0.0826446280991737-0.0438443369399161i</v>
      </c>
      <c r="J4" s="78" t="str">
        <f t="shared" si="7"/>
        <v>0.971473541851955-0.166471316849398i</v>
      </c>
      <c r="K4" s="78" t="str">
        <f t="shared" si="8"/>
        <v>0.0729882450677653-0.056351573367369i</v>
      </c>
      <c r="L4" s="78" t="str">
        <f t="shared" si="9"/>
        <v>-0.0184314489905421-0.0417774997529112i</v>
      </c>
      <c r="M4" s="73">
        <f t="shared" si="10"/>
        <v>-26.808777361853558</v>
      </c>
      <c r="N4" s="73">
        <f t="shared" si="11"/>
        <v>66.193827914367205</v>
      </c>
      <c r="O4" s="73">
        <f t="shared" si="12"/>
        <v>66.193827914367205</v>
      </c>
    </row>
    <row r="5" spans="1:18" ht="15">
      <c r="A5" s="74">
        <f t="shared" si="13"/>
        <v>4</v>
      </c>
      <c r="B5" s="73">
        <f t="shared" si="14"/>
        <v>4000</v>
      </c>
      <c r="C5" s="73">
        <f t="shared" si="0"/>
        <v>803.83488491048581</v>
      </c>
      <c r="D5" s="54" t="str">
        <f t="shared" si="1"/>
        <v>0.000182822301931459-0.00044031661680036i</v>
      </c>
      <c r="E5" s="54" t="str">
        <f t="shared" si="2"/>
        <v>0.999958777866806-0.0805119788942678i</v>
      </c>
      <c r="F5" s="73" t="str">
        <f t="shared" si="3"/>
        <v>0.000147364003447552-0.000455017851324642i</v>
      </c>
      <c r="G5" s="73" t="str">
        <f t="shared" si="4"/>
        <v>0.118456326751211-0.36575922215176i</v>
      </c>
      <c r="H5" s="76">
        <f t="shared" si="5"/>
        <v>0.38446288499210196</v>
      </c>
      <c r="I5" s="54" t="str">
        <f t="shared" si="6"/>
        <v>0.0826446280991734-0.0328832527049371i</v>
      </c>
      <c r="J5" s="78" t="str">
        <f t="shared" si="7"/>
        <v>0.950387070851117-0.217143930171097i</v>
      </c>
      <c r="K5" s="78" t="str">
        <f t="shared" si="8"/>
        <v>0.0714039872915939-0.0491975975712854i</v>
      </c>
      <c r="L5" s="78" t="str">
        <f t="shared" si="9"/>
        <v>-0.0095362209694563-0.0319444335435863i</v>
      </c>
      <c r="M5" s="73">
        <f t="shared" si="10"/>
        <v>-29.541349435367103</v>
      </c>
      <c r="N5" s="73">
        <f t="shared" si="11"/>
        <v>73.378305754245957</v>
      </c>
      <c r="O5" s="73">
        <f t="shared" si="12"/>
        <v>73.378305754245957</v>
      </c>
    </row>
    <row r="6" spans="1:18" ht="15">
      <c r="A6" s="74">
        <f t="shared" si="13"/>
        <v>5</v>
      </c>
      <c r="B6" s="73">
        <f t="shared" si="14"/>
        <v>5000</v>
      </c>
      <c r="C6" s="73">
        <f t="shared" si="0"/>
        <v>803.83488491048581</v>
      </c>
      <c r="D6" s="54" t="str">
        <f t="shared" si="1"/>
        <v>0.000182752492837173-0.000352253318035269i</v>
      </c>
      <c r="E6" s="54" t="str">
        <f t="shared" si="2"/>
        <v>0.999899000101-0.100999899000101i</v>
      </c>
      <c r="F6" s="73" t="str">
        <f t="shared" si="3"/>
        <v>0.000147156485309842-0.000370675723804296i</v>
      </c>
      <c r="G6" s="73" t="str">
        <f t="shared" si="4"/>
        <v>0.118289516432868-0.297962077783337i</v>
      </c>
      <c r="H6" s="76">
        <f t="shared" si="5"/>
        <v>0.32058354526532568</v>
      </c>
      <c r="I6" s="54" t="str">
        <f t="shared" si="6"/>
        <v>0.0826446280991735-0.0263066021639496i</v>
      </c>
      <c r="J6" s="78" t="str">
        <f t="shared" si="7"/>
        <v>0.924584440777852-0.264060698797376i</v>
      </c>
      <c r="K6" s="78" t="str">
        <f t="shared" si="8"/>
        <v>0.0694653975039708-0.0461458732982378i</v>
      </c>
      <c r="L6" s="78" t="str">
        <f t="shared" si="9"/>
        <v>-0.00553269200950788-0.0261566272121495i</v>
      </c>
      <c r="M6" s="73">
        <f t="shared" si="10"/>
        <v>-31.45827712346253</v>
      </c>
      <c r="N6" s="73">
        <f t="shared" si="11"/>
        <v>78.056746752208582</v>
      </c>
      <c r="O6" s="73">
        <f t="shared" si="12"/>
        <v>78.056746752208582</v>
      </c>
    </row>
    <row r="7" spans="1:18" ht="15">
      <c r="A7" s="74">
        <f t="shared" si="13"/>
        <v>6</v>
      </c>
      <c r="B7" s="73">
        <f t="shared" si="14"/>
        <v>6000</v>
      </c>
      <c r="C7" s="73">
        <f t="shared" si="0"/>
        <v>803.83488491048581</v>
      </c>
      <c r="D7" s="54" t="str">
        <f t="shared" si="1"/>
        <v>0.000182714571843598-0.000293544442829588i</v>
      </c>
      <c r="E7" s="54" t="str">
        <f t="shared" si="2"/>
        <v>0.999789654644088-0.121727636523225i</v>
      </c>
      <c r="F7" s="73" t="str">
        <f t="shared" si="3"/>
        <v>0.000146943667441781-0.000315724110108159i</v>
      </c>
      <c r="G7" s="73" t="str">
        <f t="shared" si="4"/>
        <v>0.118118446006389-0.253790053712258i</v>
      </c>
      <c r="H7" s="76">
        <f t="shared" si="5"/>
        <v>0.27993098908522979</v>
      </c>
      <c r="I7" s="54" t="str">
        <f t="shared" si="6"/>
        <v>0.0826446280991735-0.021922168469958i</v>
      </c>
      <c r="J7" s="78" t="str">
        <f t="shared" si="7"/>
        <v>0.894889461536973-0.306695799069762i</v>
      </c>
      <c r="K7" s="78" t="str">
        <f t="shared" si="8"/>
        <v>0.067234369762357-0.0449646777915028i</v>
      </c>
      <c r="L7" s="78" t="str">
        <f t="shared" si="9"/>
        <v>-0.00346996871731131-0.0223745721792087i</v>
      </c>
      <c r="M7" s="73">
        <f t="shared" si="10"/>
        <v>-32.901687343686604</v>
      </c>
      <c r="N7" s="73">
        <f t="shared" si="11"/>
        <v>81.184490711750271</v>
      </c>
      <c r="O7" s="73">
        <f t="shared" si="12"/>
        <v>81.184490711750271</v>
      </c>
    </row>
    <row r="8" spans="1:18" ht="15">
      <c r="A8" s="74">
        <f t="shared" si="13"/>
        <v>7</v>
      </c>
      <c r="B8" s="73">
        <f t="shared" si="14"/>
        <v>7000.0000000000009</v>
      </c>
      <c r="C8" s="73">
        <f t="shared" si="0"/>
        <v>803.83488491048581</v>
      </c>
      <c r="D8" s="54" t="str">
        <f t="shared" si="1"/>
        <v>0.000182691706679106-0.000251609528179506i</v>
      </c>
      <c r="E8" s="54" t="str">
        <f t="shared" si="2"/>
        <v>0.999608313413218-0.142742925212006i</v>
      </c>
      <c r="F8" s="73" t="str">
        <f t="shared" si="3"/>
        <v>0.000146704668724528-0.000277588924725561i</v>
      </c>
      <c r="G8" s="73" t="str">
        <f t="shared" si="4"/>
        <v>0.117926330500012-0.223135661359197i</v>
      </c>
      <c r="H8" s="76">
        <f t="shared" si="5"/>
        <v>0.25238094776627706</v>
      </c>
      <c r="I8" s="54" t="str">
        <f t="shared" si="6"/>
        <v>0.0826446280991736-0.0187904301171069i</v>
      </c>
      <c r="J8" s="78" t="str">
        <f t="shared" si="7"/>
        <v>0.862164637621573-0.344727102584689i</v>
      </c>
      <c r="K8" s="78" t="str">
        <f t="shared" si="8"/>
        <v>0.0647757053059033-0.0446902875614863i</v>
      </c>
      <c r="L8" s="78" t="str">
        <f t="shared" si="9"/>
        <v>-0.00233323563908961-0.0197239314645576i</v>
      </c>
      <c r="M8" s="73">
        <f t="shared" si="10"/>
        <v>-34.039778057820499</v>
      </c>
      <c r="N8" s="73">
        <f t="shared" si="11"/>
        <v>83.25356804835333</v>
      </c>
      <c r="O8" s="73">
        <f t="shared" si="12"/>
        <v>83.25356804835333</v>
      </c>
    </row>
    <row r="9" spans="1:18" ht="15">
      <c r="A9" s="74">
        <f t="shared" si="13"/>
        <v>8</v>
      </c>
      <c r="B9" s="73">
        <f t="shared" si="14"/>
        <v>8000</v>
      </c>
      <c r="C9" s="73">
        <f t="shared" si="0"/>
        <v>803.83488491048581</v>
      </c>
      <c r="D9" s="54" t="str">
        <f t="shared" si="1"/>
        <v>0.000182676866307361-0.000220158340424896i</v>
      </c>
      <c r="E9" s="54" t="str">
        <f t="shared" si="2"/>
        <v>0.999327874060402-0.164093246972151i</v>
      </c>
      <c r="F9" s="73" t="str">
        <f t="shared" si="3"/>
        <v>0.00014642758751863-0.00024998640643255i</v>
      </c>
      <c r="G9" s="73" t="str">
        <f t="shared" si="4"/>
        <v>0.117703602960758-0.200947794243895i</v>
      </c>
      <c r="H9" s="76">
        <f t="shared" si="5"/>
        <v>0.2328822753268924</v>
      </c>
      <c r="I9" s="54" t="str">
        <f t="shared" si="6"/>
        <v>0.0826446280991736-0.0164416263524685i</v>
      </c>
      <c r="J9" s="78" t="str">
        <f t="shared" si="7"/>
        <v>0.827258864547393-0.3780233267606i</v>
      </c>
      <c r="K9" s="78" t="str">
        <f t="shared" si="8"/>
        <v>0.062153182911149-0.0448430784005978i</v>
      </c>
      <c r="L9" s="78" t="str">
        <f t="shared" si="9"/>
        <v>-0.00169546412758493-0.0177677369068348i</v>
      </c>
      <c r="M9" s="73">
        <f t="shared" si="10"/>
        <v>-34.967991142233693</v>
      </c>
      <c r="N9" s="73">
        <f t="shared" si="11"/>
        <v>84.549126397951085</v>
      </c>
      <c r="O9" s="73">
        <f t="shared" si="12"/>
        <v>84.549126397951085</v>
      </c>
    </row>
    <row r="10" spans="1:18" ht="15">
      <c r="A10" s="74">
        <f t="shared" si="13"/>
        <v>9</v>
      </c>
      <c r="B10" s="73">
        <f t="shared" si="14"/>
        <v>9000</v>
      </c>
      <c r="C10" s="73">
        <f t="shared" si="0"/>
        <v>803.83488491048581</v>
      </c>
      <c r="D10" s="54" t="str">
        <f t="shared" si="1"/>
        <v>0.000182666691797096-0.000195696304591386i</v>
      </c>
      <c r="E10" s="54" t="str">
        <f t="shared" si="2"/>
        <v>0.99891626463625-0.185825679655359i</v>
      </c>
      <c r="F10" s="73" t="str">
        <f t="shared" si="3"/>
        <v>0.00014610333063668-0.000229428383739136i</v>
      </c>
      <c r="G10" s="73" t="str">
        <f t="shared" si="4"/>
        <v>0.117442953967374-0.184422538438147i</v>
      </c>
      <c r="H10" s="76">
        <f t="shared" si="5"/>
        <v>0.21864244812147648</v>
      </c>
      <c r="I10" s="54" t="str">
        <f t="shared" si="6"/>
        <v>0.0826446280991736-0.014614778979972i</v>
      </c>
      <c r="J10" s="78" t="str">
        <f t="shared" si="7"/>
        <v>0.790965897320422-0.406618797642856i</v>
      </c>
      <c r="K10" s="78" t="str">
        <f t="shared" si="8"/>
        <v>0.0594264385665231-0.0451646510793602i</v>
      </c>
      <c r="L10" s="78" t="str">
        <f t="shared" si="9"/>
        <v>-0.00135016311071565-0.0162638446884426i</v>
      </c>
      <c r="M10" s="73">
        <f t="shared" si="10"/>
        <v>-35.745708046131391</v>
      </c>
      <c r="N10" s="73">
        <f t="shared" si="11"/>
        <v>85.25440202584592</v>
      </c>
      <c r="O10" s="73">
        <f t="shared" si="12"/>
        <v>85.25440202584592</v>
      </c>
    </row>
    <row r="11" spans="1:18" ht="15">
      <c r="A11" s="74">
        <f t="shared" si="13"/>
        <v>10</v>
      </c>
      <c r="B11" s="73">
        <f t="shared" si="14"/>
        <v>10000</v>
      </c>
      <c r="C11" s="73">
        <f t="shared" si="0"/>
        <v>803.83488491048581</v>
      </c>
      <c r="D11" s="54" t="str">
        <f t="shared" si="1"/>
        <v>0.000182659414029626-0.00017612667541429i</v>
      </c>
      <c r="E11" s="54" t="str">
        <f t="shared" si="2"/>
        <v>0.998336106489185-0.207986688851913i</v>
      </c>
      <c r="F11" s="73" t="str">
        <f t="shared" si="3"/>
        <v>0.000145723484178019-0.000213824346093639i</v>
      </c>
      <c r="G11" s="73" t="str">
        <f t="shared" si="4"/>
        <v>0.117137620132993-0.17187946863324i</v>
      </c>
      <c r="H11" s="76">
        <f t="shared" si="5"/>
        <v>0.2079994562206024</v>
      </c>
      <c r="I11" s="54" t="str">
        <f t="shared" si="6"/>
        <v>0.0826446280991736-0.0131533010819748i</v>
      </c>
      <c r="J11" s="78" t="str">
        <f t="shared" si="7"/>
        <v>0.753995470582921-0.430681205676961i</v>
      </c>
      <c r="K11" s="78" t="str">
        <f t="shared" si="8"/>
        <v>0.0566487956861699-0.0455110175114986i</v>
      </c>
      <c r="L11" s="78" t="str">
        <f t="shared" si="9"/>
        <v>-0.00118670439675636-0.0150678171823798i</v>
      </c>
      <c r="M11" s="73">
        <f t="shared" si="10"/>
        <v>-36.412138146441421</v>
      </c>
      <c r="N11" s="73">
        <f t="shared" si="11"/>
        <v>85.496820012176883</v>
      </c>
      <c r="O11" s="73">
        <f t="shared" si="12"/>
        <v>85.496820012176883</v>
      </c>
    </row>
    <row r="12" spans="1:18" ht="15">
      <c r="A12" s="74">
        <f t="shared" si="13"/>
        <v>11</v>
      </c>
      <c r="B12" s="73">
        <f t="shared" si="14"/>
        <v>11000</v>
      </c>
      <c r="C12" s="73">
        <f t="shared" si="0"/>
        <v>803.83488491048581</v>
      </c>
      <c r="D12" s="54" t="str">
        <f t="shared" si="1"/>
        <v>0.000182654029304692-0.00016011516032987i</v>
      </c>
      <c r="E12" s="54" t="str">
        <f t="shared" si="2"/>
        <v>0.997544338518663-0.230621852116547i</v>
      </c>
      <c r="F12" s="73" t="str">
        <f t="shared" si="3"/>
        <v>0.000145279438013305-0.000201845982232868i</v>
      </c>
      <c r="G12" s="73" t="str">
        <f t="shared" si="4"/>
        <v>0.116780680335285-0.162250841897801i</v>
      </c>
      <c r="H12" s="76">
        <f t="shared" si="5"/>
        <v>0.19990763616259696</v>
      </c>
      <c r="I12" s="54" t="str">
        <f t="shared" si="6"/>
        <v>0.0826446280991735-0.0119575464381589i</v>
      </c>
      <c r="J12" s="78" t="str">
        <f t="shared" si="7"/>
        <v>0.716956800324898-0.450477243368389i</v>
      </c>
      <c r="K12" s="78" t="str">
        <f t="shared" si="8"/>
        <v>0.0538660255691133-0.0458025684793602i</v>
      </c>
      <c r="L12" s="78" t="str">
        <f t="shared" si="9"/>
        <v>-0.00114099418393897-0.0140886631064003i</v>
      </c>
      <c r="M12" s="73">
        <f t="shared" si="10"/>
        <v>-36.994212625207126</v>
      </c>
      <c r="N12" s="73">
        <f t="shared" si="11"/>
        <v>85.369909532972727</v>
      </c>
      <c r="O12" s="73">
        <f t="shared" si="12"/>
        <v>85.369909532972727</v>
      </c>
    </row>
    <row r="13" spans="1:18" ht="15">
      <c r="A13" s="74">
        <f t="shared" si="13"/>
        <v>12</v>
      </c>
      <c r="B13" s="73">
        <f t="shared" si="14"/>
        <v>12000</v>
      </c>
      <c r="C13" s="73">
        <f t="shared" si="0"/>
        <v>803.83488491048581</v>
      </c>
      <c r="D13" s="54" t="str">
        <f t="shared" si="1"/>
        <v>0.000182649933779737-0.0001467722309036i</v>
      </c>
      <c r="E13" s="54" t="str">
        <f t="shared" si="2"/>
        <v>0.996491807450037-0.253775502746189i</v>
      </c>
      <c r="F13" s="73" t="str">
        <f t="shared" si="3"/>
        <v>0.000144761965956059-0.000192609404428113i</v>
      </c>
      <c r="G13" s="73" t="str">
        <f t="shared" si="4"/>
        <v>0.116364718243704-0.154826158441149i</v>
      </c>
      <c r="H13" s="76">
        <f t="shared" si="5"/>
        <v>0.19367985695363465</v>
      </c>
      <c r="I13" s="54" t="str">
        <f t="shared" si="6"/>
        <v>0.0826446280991735-0.010961084234979i</v>
      </c>
      <c r="J13" s="78" t="str">
        <f t="shared" si="7"/>
        <v>0.680352734676921-0.466339887951434i</v>
      </c>
      <c r="K13" s="78" t="str">
        <f t="shared" si="8"/>
        <v>0.0511159079396635-0.0459978902418486i</v>
      </c>
      <c r="L13" s="78" t="str">
        <f t="shared" si="9"/>
        <v>-0.00117358841737298-0.0132666111993271i</v>
      </c>
      <c r="M13" s="73">
        <f t="shared" si="10"/>
        <v>-37.510946578007847</v>
      </c>
      <c r="N13" s="73">
        <f t="shared" si="11"/>
        <v>84.944671138527553</v>
      </c>
      <c r="O13" s="73">
        <f t="shared" si="12"/>
        <v>84.944671138527553</v>
      </c>
    </row>
    <row r="14" spans="1:18" ht="15">
      <c r="A14" s="74">
        <f t="shared" si="13"/>
        <v>13</v>
      </c>
      <c r="B14" s="73">
        <f t="shared" si="14"/>
        <v>13000</v>
      </c>
      <c r="C14" s="73">
        <f t="shared" si="0"/>
        <v>803.83488491048581</v>
      </c>
      <c r="D14" s="54" t="str">
        <f t="shared" si="1"/>
        <v>0.000182646746498265-0.000135482059727529i</v>
      </c>
      <c r="E14" s="54" t="str">
        <f t="shared" si="2"/>
        <v>0.99512283085849-0.277490278875169i</v>
      </c>
      <c r="F14" s="73" t="str">
        <f t="shared" si="3"/>
        <v>0.000144160992886072-0.000185503987428044i</v>
      </c>
      <c r="G14" s="73" t="str">
        <f t="shared" si="4"/>
        <v>0.115881635125157-0.149114576384658i</v>
      </c>
      <c r="H14" s="76">
        <f t="shared" si="5"/>
        <v>0.18884837899663323</v>
      </c>
      <c r="I14" s="54" t="str">
        <f t="shared" si="6"/>
        <v>0.0826446280991735-0.0101179239092114i</v>
      </c>
      <c r="J14" s="78" t="str">
        <f t="shared" si="7"/>
        <v>0.644582091808383-0.47863975882527i</v>
      </c>
      <c r="K14" s="78" t="str">
        <f t="shared" si="8"/>
        <v>0.0484284065971737-0.0460788374197501i</v>
      </c>
      <c r="L14" s="78" t="str">
        <f t="shared" si="9"/>
        <v>-0.00125906337915713-0.0125610723595884i</v>
      </c>
      <c r="M14" s="73">
        <f t="shared" si="10"/>
        <v>-37.97604928902998</v>
      </c>
      <c r="N14" s="73">
        <f t="shared" si="11"/>
        <v>84.276056597644441</v>
      </c>
      <c r="O14" s="73">
        <f t="shared" si="12"/>
        <v>84.276056597644441</v>
      </c>
    </row>
    <row r="15" spans="1:18" ht="15">
      <c r="A15" s="74">
        <f t="shared" si="13"/>
        <v>14</v>
      </c>
      <c r="B15" s="73">
        <f t="shared" si="14"/>
        <v>14000.000000000002</v>
      </c>
      <c r="C15" s="73">
        <f t="shared" si="0"/>
        <v>803.83488491048581</v>
      </c>
      <c r="D15" s="54" t="str">
        <f t="shared" si="1"/>
        <v>0.000182644217487972-0.000125804770065211i</v>
      </c>
      <c r="E15" s="54" t="str">
        <f t="shared" si="2"/>
        <v>0.993374742343426-0.301806562343923i</v>
      </c>
      <c r="F15" s="73" t="str">
        <f t="shared" si="3"/>
        <v>0.000143465447307782-0.000180094504461144i</v>
      </c>
      <c r="G15" s="73" t="str">
        <f t="shared" si="4"/>
        <v>0.115322531325282-0.144766245266535i</v>
      </c>
      <c r="H15" s="76">
        <f t="shared" si="5"/>
        <v>0.18508525603040674</v>
      </c>
      <c r="I15" s="54" t="str">
        <f t="shared" si="6"/>
        <v>0.0826446280991737-0.00939521505855346i</v>
      </c>
      <c r="J15" s="78" t="str">
        <f t="shared" si="7"/>
        <v>0.60994759447333-0.487761751749282i</v>
      </c>
      <c r="K15" s="78" t="str">
        <f t="shared" si="8"/>
        <v>0.0458262655502127-0.0460414773988452i</v>
      </c>
      <c r="L15" s="78" t="str">
        <f t="shared" si="9"/>
        <v>-0.00138045086511976-0.011943716117882i</v>
      </c>
      <c r="M15" s="73">
        <f t="shared" si="10"/>
        <v>-38.399578711064301</v>
      </c>
      <c r="N15" s="73">
        <f t="shared" si="11"/>
        <v>83.407026156862116</v>
      </c>
      <c r="O15" s="73">
        <f t="shared" si="12"/>
        <v>83.407026156862116</v>
      </c>
    </row>
    <row r="16" spans="1:18" ht="15">
      <c r="A16" s="74">
        <f t="shared" si="13"/>
        <v>15</v>
      </c>
      <c r="B16" s="73">
        <f t="shared" si="14"/>
        <v>15000</v>
      </c>
      <c r="C16" s="73">
        <f t="shared" si="0"/>
        <v>803.83488491048581</v>
      </c>
      <c r="D16" s="54" t="str">
        <f t="shared" si="1"/>
        <v>0.000182642177211512-0.000117417785633805i</v>
      </c>
      <c r="E16" s="54" t="str">
        <f t="shared" si="2"/>
        <v>0.991177431652325-0.326761790654613i</v>
      </c>
      <c r="F16" s="73" t="str">
        <f t="shared" si="3"/>
        <v>0.000142663158231494-0.000176062344069509i</v>
      </c>
      <c r="G16" s="73" t="str">
        <f t="shared" si="4"/>
        <v>0.114677623377979-0.141525054082184i</v>
      </c>
      <c r="H16" s="76">
        <f t="shared" si="5"/>
        <v>0.18215459982275137</v>
      </c>
      <c r="I16" s="54" t="str">
        <f t="shared" si="6"/>
        <v>0.0826446280991739-0.00876886738798325i</v>
      </c>
      <c r="J16" s="78" t="str">
        <f t="shared" si="7"/>
        <v>0.576667078872486-0.494087197787152i</v>
      </c>
      <c r="K16" s="78" t="str">
        <f t="shared" si="8"/>
        <v>0.0433258511549578-0.0458903698513307i</v>
      </c>
      <c r="L16" s="78" t="str">
        <f t="shared" si="9"/>
        <v>-0.00152613143378238-0.0113942919783491i</v>
      </c>
      <c r="M16" s="73">
        <f t="shared" si="10"/>
        <v>-38.789033651279986</v>
      </c>
      <c r="N16" s="73">
        <f t="shared" si="11"/>
        <v>82.371306025571855</v>
      </c>
      <c r="O16" s="73">
        <f t="shared" si="12"/>
        <v>82.371306025571855</v>
      </c>
    </row>
    <row r="17" spans="1:18" ht="15">
      <c r="A17" s="74">
        <f t="shared" si="13"/>
        <v>16</v>
      </c>
      <c r="B17" s="73">
        <f t="shared" si="14"/>
        <v>16000</v>
      </c>
      <c r="C17" s="73">
        <f t="shared" si="0"/>
        <v>803.83488491048581</v>
      </c>
      <c r="D17" s="54" t="str">
        <f t="shared" si="1"/>
        <v>0.000182640507394726-0.000110079174215538i</v>
      </c>
      <c r="E17" s="54" t="str">
        <f t="shared" si="2"/>
        <v>0.98845289678367-0.352389624521807i</v>
      </c>
      <c r="F17" s="73" t="str">
        <f t="shared" si="3"/>
        <v>0.000141740779734872-0.000173168698452203i</v>
      </c>
      <c r="G17" s="73" t="str">
        <f t="shared" si="4"/>
        <v>0.113936183365303-0.139199040790425i</v>
      </c>
      <c r="H17" s="76">
        <f t="shared" si="5"/>
        <v>0.17988281417863786</v>
      </c>
      <c r="I17" s="54" t="str">
        <f t="shared" si="6"/>
        <v>0.0826446280991731-0.00822081317623425i</v>
      </c>
      <c r="J17" s="78" t="str">
        <f t="shared" si="7"/>
        <v>0.544886122215679-0.497981160318781i</v>
      </c>
      <c r="K17" s="78" t="str">
        <f t="shared" si="8"/>
        <v>0.0409381008426503-0.0456348748079982i</v>
      </c>
      <c r="L17" s="78" t="str">
        <f t="shared" si="9"/>
        <v>-0.00168799983562901-0.0108980078330553i</v>
      </c>
      <c r="M17" s="73">
        <f t="shared" si="10"/>
        <v>-39.150095770134229</v>
      </c>
      <c r="N17" s="73">
        <f t="shared" si="11"/>
        <v>81.195383780463175</v>
      </c>
      <c r="O17" s="73">
        <f t="shared" si="12"/>
        <v>81.195383780463175</v>
      </c>
    </row>
    <row r="18" spans="1:18" ht="15">
      <c r="A18" s="74">
        <f t="shared" si="13"/>
        <v>17</v>
      </c>
      <c r="B18" s="73">
        <f t="shared" si="14"/>
        <v>17000</v>
      </c>
      <c r="C18" s="73">
        <f t="shared" si="0"/>
        <v>803.83488491048581</v>
      </c>
      <c r="D18" s="54" t="str">
        <f t="shared" si="1"/>
        <v>0.000182639123491424-0.000103603928816852i</v>
      </c>
      <c r="E18" s="54" t="str">
        <f t="shared" si="2"/>
        <v>0.985114830259947-0.378718953288537i</v>
      </c>
      <c r="F18" s="73" t="str">
        <f t="shared" si="3"/>
        <v>0.000140683737658981-0.000171230664428885i</v>
      </c>
      <c r="G18" s="73" t="str">
        <f t="shared" si="4"/>
        <v>0.113086496069884-0.137641181434339i</v>
      </c>
      <c r="H18" s="76">
        <f t="shared" si="5"/>
        <v>0.17813941287655721</v>
      </c>
      <c r="I18" s="54" t="str">
        <f t="shared" si="6"/>
        <v>0.0826446280991737-0.00773723593057343i</v>
      </c>
      <c r="J18" s="78" t="str">
        <f t="shared" si="7"/>
        <v>0.514690748100392-0.499784135322692i</v>
      </c>
      <c r="K18" s="78" t="str">
        <f t="shared" si="8"/>
        <v>0.0386694776934931-0.045286757742947i</v>
      </c>
      <c r="L18" s="78" t="str">
        <f t="shared" si="9"/>
        <v>-0.00186032710186025-0.0104438333466968i</v>
      </c>
      <c r="M18" s="73">
        <f t="shared" si="10"/>
        <v>-39.487144227746484</v>
      </c>
      <c r="N18" s="73">
        <f t="shared" si="11"/>
        <v>79.900015740266738</v>
      </c>
      <c r="O18" s="73">
        <f t="shared" si="12"/>
        <v>79.900015740266738</v>
      </c>
    </row>
    <row r="19" spans="1:18" ht="15">
      <c r="A19" s="74">
        <f t="shared" si="13"/>
        <v>18</v>
      </c>
      <c r="B19" s="73">
        <f t="shared" si="14"/>
        <v>18000</v>
      </c>
      <c r="C19" s="73">
        <f t="shared" si="0"/>
        <v>803.83488491048581</v>
      </c>
      <c r="D19" s="54" t="str">
        <f t="shared" si="1"/>
        <v>0.000182637963766994-0.0000978481551071908i</v>
      </c>
      <c r="E19" s="54" t="str">
        <f t="shared" si="2"/>
        <v>0.981068267923973-0.405772721108261i</v>
      </c>
      <c r="F19" s="73" t="str">
        <f t="shared" si="3"/>
        <v>0.000139476198616778-0.000170105223585973i</v>
      </c>
      <c r="G19" s="73" t="str">
        <f t="shared" si="4"/>
        <v>0.11211583406287-0.136736512823903i</v>
      </c>
      <c r="H19" s="76">
        <f t="shared" si="5"/>
        <v>0.17682430315670522</v>
      </c>
      <c r="I19" s="54" t="str">
        <f t="shared" si="6"/>
        <v>0.0826446280991741-0.00730738948998603i</v>
      </c>
      <c r="J19" s="78" t="str">
        <f t="shared" si="7"/>
        <v>0.486119338293993-0.499807290093495i</v>
      </c>
      <c r="K19" s="78" t="str">
        <f t="shared" si="8"/>
        <v>0.036522865386476-0.0448586509545614i</v>
      </c>
      <c r="L19" s="78" t="str">
        <f t="shared" si="9"/>
        <v>-0.00203902398634069-0.0100233743179894i</v>
      </c>
      <c r="M19" s="73">
        <f t="shared" si="10"/>
        <v>-39.803618245078937</v>
      </c>
      <c r="N19" s="73">
        <f t="shared" si="11"/>
        <v>78.501397325998539</v>
      </c>
      <c r="O19" s="73">
        <f t="shared" si="12"/>
        <v>78.501397325998539</v>
      </c>
    </row>
    <row r="20" spans="1:18" ht="15">
      <c r="A20" s="74">
        <f t="shared" si="13"/>
        <v>19</v>
      </c>
      <c r="B20" s="73">
        <f t="shared" si="14"/>
        <v>19000</v>
      </c>
      <c r="C20" s="73">
        <f t="shared" si="0"/>
        <v>803.83488491048581</v>
      </c>
      <c r="D20" s="54" t="str">
        <f t="shared" si="1"/>
        <v>0.000182636982292251-0.0000926982522978097i</v>
      </c>
      <c r="E20" s="54" t="str">
        <f t="shared" si="2"/>
        <v>0.976209335792462-0.433566558673604i</v>
      </c>
      <c r="F20" s="73" t="str">
        <f t="shared" si="3"/>
        <v>0.000138101064930839-0.00016967818720375i</v>
      </c>
      <c r="G20" s="73" t="str">
        <f t="shared" si="4"/>
        <v>0.111010453634696-0.136393246082746i</v>
      </c>
      <c r="H20" s="76">
        <f t="shared" si="5"/>
        <v>0.17585914361547852</v>
      </c>
      <c r="I20" s="54" t="str">
        <f t="shared" si="6"/>
        <v>0.0826446280991733-0.00692279004314463i</v>
      </c>
      <c r="J20" s="78" t="str">
        <f t="shared" si="7"/>
        <v>0.459173259404846-0.498330389653667i</v>
      </c>
      <c r="K20" s="78" t="str">
        <f t="shared" si="8"/>
        <v>0.0344983665969079-0.0443630897917296i</v>
      </c>
      <c r="L20" s="78" t="str">
        <f t="shared" si="9"/>
        <v>-0.00222114649737554-0.0096301109271215i</v>
      </c>
      <c r="M20" s="73">
        <f t="shared" si="10"/>
        <v>-40.102275705205486</v>
      </c>
      <c r="N20" s="73">
        <f t="shared" si="11"/>
        <v>77.012087376694879</v>
      </c>
      <c r="O20" s="73">
        <f t="shared" si="12"/>
        <v>77.012087376694879</v>
      </c>
    </row>
    <row r="21" spans="1:18" ht="15">
      <c r="A21" s="74">
        <f t="shared" si="13"/>
        <v>20</v>
      </c>
      <c r="B21" s="73">
        <f t="shared" si="14"/>
        <v>20000</v>
      </c>
      <c r="C21" s="73">
        <f t="shared" si="0"/>
        <v>803.83488491048581</v>
      </c>
      <c r="D21" s="54" t="str">
        <f t="shared" si="1"/>
        <v>0.000182636144325032-0.0000880633397567275i</v>
      </c>
      <c r="E21" s="54" t="str">
        <f t="shared" si="2"/>
        <v>0.970425138632163-0.462107208872458i</v>
      </c>
      <c r="F21" s="73" t="str">
        <f t="shared" si="3"/>
        <v>0.000136540001536895-0.000169856357585101i</v>
      </c>
      <c r="G21" s="73" t="str">
        <f t="shared" si="4"/>
        <v>0.109755616421088-0.136536465650734i</v>
      </c>
      <c r="H21" s="76">
        <f t="shared" si="5"/>
        <v>0.17518133972648758</v>
      </c>
      <c r="I21" s="54" t="str">
        <f t="shared" si="6"/>
        <v>0.0826446280991737-0.00657665054098741i</v>
      </c>
      <c r="J21" s="78" t="str">
        <f t="shared" si="7"/>
        <v>0.433825992892022-0.495601655347592i</v>
      </c>
      <c r="K21" s="78" t="str">
        <f t="shared" si="8"/>
        <v>0.0325939889475599-0.0438119364423843i</v>
      </c>
      <c r="L21" s="78" t="str">
        <f t="shared" si="9"/>
        <v>-0.00240455360659618-0.00925887414319434i</v>
      </c>
      <c r="M21" s="73">
        <f t="shared" si="10"/>
        <v>-40.385379539113416</v>
      </c>
      <c r="N21" s="73">
        <f t="shared" si="11"/>
        <v>75.441746243717859</v>
      </c>
      <c r="O21" s="73">
        <f t="shared" si="12"/>
        <v>75.441746243717859</v>
      </c>
    </row>
    <row r="22" spans="1:18" ht="15">
      <c r="A22" s="74">
        <f t="shared" si="13"/>
        <v>21</v>
      </c>
      <c r="B22" s="73">
        <f t="shared" si="14"/>
        <v>21000</v>
      </c>
      <c r="C22" s="73">
        <f t="shared" si="0"/>
        <v>803.83488491048581</v>
      </c>
      <c r="D22" s="54" t="str">
        <f t="shared" si="1"/>
        <v>0.000182635423192824-0.0000838698474478517i</v>
      </c>
      <c r="E22" s="54" t="str">
        <f t="shared" si="2"/>
        <v>0.963593842808501-0.491390740625996i</v>
      </c>
      <c r="F22" s="73" t="str">
        <f t="shared" si="3"/>
        <v>0.000134773502813741-0.000170561824465302i</v>
      </c>
      <c r="G22" s="73" t="str">
        <f t="shared" si="4"/>
        <v>0.108335643123267-0.137103544539189i</v>
      </c>
      <c r="H22" s="76">
        <f t="shared" si="5"/>
        <v>0.17473978795952927</v>
      </c>
      <c r="I22" s="54" t="str">
        <f t="shared" si="6"/>
        <v>0.0826446280991735-0.00626347670570231i</v>
      </c>
      <c r="J22" s="78" t="str">
        <f t="shared" si="7"/>
        <v>0.410030745967623-0.491838930269715i</v>
      </c>
      <c r="K22" s="78" t="str">
        <f t="shared" si="8"/>
        <v>0.030806216827019-0.0432160635028259i</v>
      </c>
      <c r="L22" s="78" t="str">
        <f t="shared" si="9"/>
        <v>-0.0025876641751182-0.0089054815536617i</v>
      </c>
      <c r="M22" s="73">
        <f t="shared" si="10"/>
        <v>-40.654833310617263</v>
      </c>
      <c r="N22" s="73">
        <f t="shared" si="11"/>
        <v>73.797729996329309</v>
      </c>
      <c r="O22" s="73">
        <f t="shared" si="12"/>
        <v>73.797729996329309</v>
      </c>
    </row>
    <row r="23" spans="1:18" ht="15">
      <c r="A23" s="74">
        <f t="shared" si="13"/>
        <v>22</v>
      </c>
      <c r="B23" s="73">
        <f t="shared" si="14"/>
        <v>22000</v>
      </c>
      <c r="C23" s="73">
        <f t="shared" si="0"/>
        <v>803.83488491048581</v>
      </c>
      <c r="D23" s="54" t="str">
        <f t="shared" si="1"/>
        <v>0.000182634798143741-0.0000800575817048164i</v>
      </c>
      <c r="E23" s="54" t="str">
        <f t="shared" si="2"/>
        <v>0.95558501521352-0.521400553935948i</v>
      </c>
      <c r="F23" s="73" t="str">
        <f t="shared" si="3"/>
        <v>0.000132781008915041-0.000171727710351481i</v>
      </c>
      <c r="G23" s="73" t="str">
        <f t="shared" si="4"/>
        <v>0.10673400701952-0.138040724286324i</v>
      </c>
      <c r="H23" s="76">
        <f t="shared" si="5"/>
        <v>0.17449180443773246</v>
      </c>
      <c r="I23" s="54" t="str">
        <f t="shared" si="6"/>
        <v>0.0826446280991734-0.00597877321907945i</v>
      </c>
      <c r="J23" s="78" t="str">
        <f t="shared" si="7"/>
        <v>0.38772663673915-0.487231661432318i</v>
      </c>
      <c r="K23" s="78" t="str">
        <f t="shared" si="8"/>
        <v>0.0291304760885912-0.0425852090892761i</v>
      </c>
      <c r="L23" s="78" t="str">
        <f t="shared" si="9"/>
        <v>-0.00276928066724657-0.00856648202393709i</v>
      </c>
      <c r="M23" s="73">
        <f t="shared" si="10"/>
        <v>-40.912280679548545</v>
      </c>
      <c r="N23" s="73">
        <f t="shared" si="11"/>
        <v>72.08557231348324</v>
      </c>
      <c r="O23" s="73">
        <f t="shared" si="12"/>
        <v>72.08557231348324</v>
      </c>
    </row>
    <row r="24" spans="1:18" ht="15">
      <c r="A24" s="74">
        <f t="shared" si="13"/>
        <v>23</v>
      </c>
      <c r="B24" s="73">
        <f t="shared" si="14"/>
        <v>23000</v>
      </c>
      <c r="C24" s="73">
        <f t="shared" si="0"/>
        <v>803.83488491048581</v>
      </c>
      <c r="D24" s="54" t="str">
        <f t="shared" si="1"/>
        <v>0.000182634252836708-0.0000765768173246332i</v>
      </c>
      <c r="E24" s="54" t="str">
        <f t="shared" si="2"/>
        <v>0.946260289080358-0.552105191497926i</v>
      </c>
      <c r="F24" s="73" t="str">
        <f t="shared" si="3"/>
        <v>0.00013054108249192-0.000173294920434952i</v>
      </c>
      <c r="G24" s="73" t="str">
        <f t="shared" si="4"/>
        <v>0.104933476020983-0.139300502423401i</v>
      </c>
      <c r="H24" s="76">
        <f t="shared" si="5"/>
        <v>0.17440087260463508</v>
      </c>
      <c r="I24" s="54" t="str">
        <f t="shared" si="6"/>
        <v>0.0826446280991738-0.00571882655738035i</v>
      </c>
      <c r="J24" s="78" t="str">
        <f t="shared" si="7"/>
        <v>0.366843608537597-0.481943332159198i</v>
      </c>
      <c r="K24" s="78" t="str">
        <f t="shared" si="8"/>
        <v>0.0275615032710442-0.0419279424220836i</v>
      </c>
      <c r="L24" s="78" t="str">
        <f t="shared" si="9"/>
        <v>-0.00294845910238131-0.00823897599395753i</v>
      </c>
      <c r="M24" s="73">
        <f t="shared" si="10"/>
        <v>-41.159178918400379</v>
      </c>
      <c r="N24" s="73">
        <f t="shared" si="11"/>
        <v>70.30937840577657</v>
      </c>
      <c r="O24" s="73">
        <f t="shared" si="12"/>
        <v>70.30937840577657</v>
      </c>
    </row>
    <row r="25" spans="1:18" ht="15">
      <c r="A25" s="74">
        <f t="shared" si="13"/>
        <v>24</v>
      </c>
      <c r="B25" s="73">
        <f t="shared" si="14"/>
        <v>24000</v>
      </c>
      <c r="C25" s="73">
        <f t="shared" si="0"/>
        <v>803.83488491048581</v>
      </c>
      <c r="D25" s="54" t="str">
        <f t="shared" si="1"/>
        <v>0.000182633774262467-0.0000733861166379011i</v>
      </c>
      <c r="E25" s="54" t="str">
        <f t="shared" si="2"/>
        <v>0.935474435292397-0.583455988747857i</v>
      </c>
      <c r="F25" s="73" t="str">
        <f t="shared" si="3"/>
        <v>0.000128031657600168-0.000175209605361203i</v>
      </c>
      <c r="G25" s="73" t="str">
        <f t="shared" si="4"/>
        <v>0.10291631275193-0.140839592960734i</v>
      </c>
      <c r="H25" s="76">
        <f t="shared" si="5"/>
        <v>0.1744349689018756</v>
      </c>
      <c r="I25" s="54" t="str">
        <f t="shared" si="6"/>
        <v>0.0826446280991736-0.00548054211748951i</v>
      </c>
      <c r="J25" s="78" t="str">
        <f t="shared" si="7"/>
        <v>0.347306252833458-0.476114082522498i</v>
      </c>
      <c r="K25" s="78" t="str">
        <f t="shared" si="8"/>
        <v>0.0260936328199443-0.0412516978291723i</v>
      </c>
      <c r="L25" s="78" t="str">
        <f t="shared" si="9"/>
        <v>-0.00312441185506841-0.00792048926056301i</v>
      </c>
      <c r="M25" s="73">
        <f t="shared" si="10"/>
        <v>-41.396853587005879</v>
      </c>
      <c r="N25" s="73">
        <f t="shared" si="11"/>
        <v>68.472150079669717</v>
      </c>
      <c r="O25" s="73">
        <f t="shared" si="12"/>
        <v>68.472150079669717</v>
      </c>
      <c r="P25" s="73">
        <v>-9.1029999999999998</v>
      </c>
      <c r="Q25" s="73">
        <v>72.905000000000001</v>
      </c>
      <c r="R25" s="73">
        <f>B25</f>
        <v>24000</v>
      </c>
    </row>
    <row r="26" spans="1:18" ht="15">
      <c r="A26" s="74">
        <f t="shared" si="13"/>
        <v>25</v>
      </c>
      <c r="B26" s="73">
        <f t="shared" si="14"/>
        <v>25000</v>
      </c>
      <c r="C26" s="73">
        <f t="shared" si="0"/>
        <v>803.83488491048581</v>
      </c>
      <c r="D26" s="54" t="str">
        <f t="shared" si="1"/>
        <v>0.000182633351960408-0.0000704506720021418i</v>
      </c>
      <c r="E26" s="54" t="str">
        <f t="shared" si="2"/>
        <v>0.923076923076923-0.615384615384615i</v>
      </c>
      <c r="F26" s="73" t="str">
        <f t="shared" si="3"/>
        <v>0.000125230372885212-0.000177421144592997i</v>
      </c>
      <c r="G26" s="73" t="str">
        <f t="shared" si="4"/>
        <v>0.100664542375482-0.142617305344598i</v>
      </c>
      <c r="H26" s="76">
        <f t="shared" si="5"/>
        <v>0.17456530547454013</v>
      </c>
      <c r="I26" s="54" t="str">
        <f t="shared" si="6"/>
        <v>0.0826446280991739-0.00526132043278994i</v>
      </c>
      <c r="J26" s="78" t="str">
        <f t="shared" si="7"/>
        <v>0.32903672104476-0.469863338907041i</v>
      </c>
      <c r="K26" s="78" t="str">
        <f t="shared" si="8"/>
        <v>0.0247210158561053-0.0405628485249795i</v>
      </c>
      <c r="L26" s="78" t="str">
        <f t="shared" si="9"/>
        <v>-0.0032964344055218-0.00760888525099187i</v>
      </c>
      <c r="M26" s="73">
        <f t="shared" si="10"/>
        <v>-41.626539344416038</v>
      </c>
      <c r="N26" s="73">
        <f t="shared" si="11"/>
        <v>66.576057060449287</v>
      </c>
      <c r="O26" s="73">
        <f t="shared" si="12"/>
        <v>66.576057060449287</v>
      </c>
    </row>
    <row r="27" spans="1:18" ht="15">
      <c r="A27" s="74">
        <f t="shared" si="13"/>
        <v>26</v>
      </c>
      <c r="B27" s="73">
        <f t="shared" si="14"/>
        <v>26000</v>
      </c>
      <c r="C27" s="73">
        <f t="shared" si="0"/>
        <v>803.83488491048581</v>
      </c>
      <c r="D27" s="54" t="str">
        <f t="shared" si="1"/>
        <v>0.000182632977442074-0.000067741030796665i</v>
      </c>
      <c r="E27" s="54" t="str">
        <f t="shared" si="2"/>
        <v>0.908914055000462-0.647800587445505i</v>
      </c>
      <c r="F27" s="73" t="str">
        <f t="shared" si="3"/>
        <v>0.00012211500055944-0.000179880525065205i</v>
      </c>
      <c r="G27" s="73" t="str">
        <f t="shared" si="4"/>
        <v>0.0981602974205414-0.144594241163427i</v>
      </c>
      <c r="H27" s="76">
        <f t="shared" si="5"/>
        <v>0.17476538148991763</v>
      </c>
      <c r="I27" s="54" t="str">
        <f t="shared" si="6"/>
        <v>0.0826446280991733-0.00505896195460569i</v>
      </c>
      <c r="J27" s="78" t="str">
        <f t="shared" si="7"/>
        <v>0.31195689287433-0.46329233736651i</v>
      </c>
      <c r="K27" s="78" t="str">
        <f t="shared" si="8"/>
        <v>0.0234377830859751-0.0398668009753802i</v>
      </c>
      <c r="L27" s="78" t="str">
        <f t="shared" si="9"/>
        <v>-0.00346385007605102-0.00730230550081842i</v>
      </c>
      <c r="M27" s="73">
        <f t="shared" si="10"/>
        <v>-41.849410387876119</v>
      </c>
      <c r="N27" s="73">
        <f t="shared" si="11"/>
        <v>64.622666521248874</v>
      </c>
      <c r="O27" s="73">
        <f t="shared" si="12"/>
        <v>64.622666521248874</v>
      </c>
    </row>
    <row r="28" spans="1:18" ht="15">
      <c r="A28" s="74">
        <f t="shared" si="13"/>
        <v>27</v>
      </c>
      <c r="B28" s="73">
        <f t="shared" si="14"/>
        <v>27000</v>
      </c>
      <c r="C28" s="73">
        <f t="shared" si="0"/>
        <v>803.83488491048581</v>
      </c>
      <c r="D28" s="54" t="str">
        <f t="shared" si="1"/>
        <v>0.000182632643761238-0.0000652321037518924i</v>
      </c>
      <c r="E28" s="54" t="str">
        <f t="shared" si="2"/>
        <v>0.89283175581238-0.680588859597241i</v>
      </c>
      <c r="F28" s="73" t="str">
        <f t="shared" si="3"/>
        <v>0.000118663980896374-0.000182539036470828i</v>
      </c>
      <c r="G28" s="73" t="str">
        <f t="shared" si="4"/>
        <v>0.0953862474268569-0.146731245373199i</v>
      </c>
      <c r="H28" s="76">
        <f t="shared" si="5"/>
        <v>0.1750102698899339</v>
      </c>
      <c r="I28" s="54" t="str">
        <f t="shared" si="6"/>
        <v>0.0826446280991737-0.00487159299332401i</v>
      </c>
      <c r="J28" s="78" t="str">
        <f t="shared" si="7"/>
        <v>0.295989949445056-0.456486472168201i</v>
      </c>
      <c r="K28" s="78" t="str">
        <f t="shared" si="8"/>
        <v>0.0222381629936181-0.0391680972884556i</v>
      </c>
      <c r="L28" s="78" t="str">
        <f t="shared" si="9"/>
        <v>-0.00362596877640568-0.0069991311700616i</v>
      </c>
      <c r="M28" s="73">
        <f t="shared" si="10"/>
        <v>-42.066602955142983</v>
      </c>
      <c r="N28" s="73">
        <f t="shared" si="11"/>
        <v>62.613140180920453</v>
      </c>
      <c r="O28" s="73">
        <f t="shared" si="12"/>
        <v>62.613140180920453</v>
      </c>
    </row>
    <row r="29" spans="1:18" ht="15">
      <c r="A29" s="74">
        <f t="shared" si="13"/>
        <v>28</v>
      </c>
      <c r="B29" s="73">
        <f t="shared" si="14"/>
        <v>28000.000000000004</v>
      </c>
      <c r="C29" s="73">
        <f t="shared" si="0"/>
        <v>803.83488491048581</v>
      </c>
      <c r="D29" s="54" t="str">
        <f t="shared" si="1"/>
        <v>0.000182632345189484-0.0000629023857795376i</v>
      </c>
      <c r="E29" s="54" t="str">
        <f t="shared" si="2"/>
        <v>0.874679080449271-0.713607641392179i</v>
      </c>
      <c r="F29" s="73" t="str">
        <f t="shared" si="3"/>
        <v>0.000114857068596555-0.000185347238044301i</v>
      </c>
      <c r="G29" s="73" t="str">
        <f t="shared" si="4"/>
        <v>0.0923261185164676-0.148988575761817i</v>
      </c>
      <c r="H29" s="76">
        <f t="shared" si="5"/>
        <v>0.17527609040554135</v>
      </c>
      <c r="I29" s="54" t="str">
        <f t="shared" si="6"/>
        <v>0.0826446280991735-0.00469760752927673i</v>
      </c>
      <c r="J29" s="78" t="str">
        <f t="shared" si="7"/>
        <v>0.281061477856686-0.44951743405757i</v>
      </c>
      <c r="K29" s="78" t="str">
        <f t="shared" si="8"/>
        <v>0.0211165648276999-0.0384705176763518i</v>
      </c>
      <c r="L29" s="78" t="str">
        <f t="shared" si="9"/>
        <v>-0.00378205717047657-0.0066979604930378i</v>
      </c>
      <c r="M29" s="73">
        <f t="shared" si="10"/>
        <v>-42.279231576089067</v>
      </c>
      <c r="N29" s="73">
        <f t="shared" si="11"/>
        <v>60.548406176021672</v>
      </c>
      <c r="O29" s="73">
        <f t="shared" si="12"/>
        <v>60.548406176021672</v>
      </c>
    </row>
    <row r="30" spans="1:18" ht="15">
      <c r="A30" s="74">
        <f t="shared" si="13"/>
        <v>29</v>
      </c>
      <c r="B30" s="73">
        <f t="shared" si="14"/>
        <v>28999.999999999996</v>
      </c>
      <c r="C30" s="73">
        <f t="shared" si="0"/>
        <v>803.83488491048581</v>
      </c>
      <c r="D30" s="54" t="str">
        <f t="shared" si="1"/>
        <v>0.000182632076968707-0.0000607333380103295i</v>
      </c>
      <c r="E30" s="54" t="str">
        <f t="shared" si="2"/>
        <v>0.854312480830752-0.74668661675985i</v>
      </c>
      <c r="F30" s="73" t="str">
        <f t="shared" si="3"/>
        <v>0.000110676092070944-0.000188254176328326i</v>
      </c>
      <c r="G30" s="73" t="str">
        <f t="shared" si="4"/>
        <v>0.0889653037321896-0.151325274162798i</v>
      </c>
      <c r="H30" s="76">
        <f t="shared" si="5"/>
        <v>0.17553963617544252</v>
      </c>
      <c r="I30" s="54" t="str">
        <f t="shared" si="6"/>
        <v>0.0826446280991734-0.00453562106274993i</v>
      </c>
      <c r="J30" s="78" t="str">
        <f t="shared" si="7"/>
        <v>0.267100212516273-0.442445125399789i</v>
      </c>
      <c r="K30" s="78" t="str">
        <f t="shared" si="8"/>
        <v>0.0200676342987432-0.0377771781927115i</v>
      </c>
      <c r="L30" s="78" t="str">
        <f t="shared" si="9"/>
        <v>-0.00393131866653475-0.00639759839411571i</v>
      </c>
      <c r="M30" s="73">
        <f t="shared" si="10"/>
        <v>-42.488400224642866</v>
      </c>
      <c r="N30" s="73">
        <f t="shared" si="11"/>
        <v>58.429311071552888</v>
      </c>
      <c r="O30" s="73">
        <f t="shared" si="12"/>
        <v>58.429311071552888</v>
      </c>
    </row>
    <row r="31" spans="1:18" ht="15">
      <c r="A31" s="74">
        <f t="shared" si="13"/>
        <v>30</v>
      </c>
      <c r="B31" s="73">
        <f t="shared" si="14"/>
        <v>30000</v>
      </c>
      <c r="C31" s="73">
        <f t="shared" si="0"/>
        <v>803.83488491048581</v>
      </c>
      <c r="D31" s="54" t="str">
        <f t="shared" si="1"/>
        <v>0.000182631835120358-0.0000587088934241864i</v>
      </c>
      <c r="E31" s="54" t="str">
        <f t="shared" si="2"/>
        <v>0.831600831600832-0.77962577962578i</v>
      </c>
      <c r="F31" s="73" t="str">
        <f t="shared" si="3"/>
        <v>0.000106105819156078-0.000191206851434114i</v>
      </c>
      <c r="G31" s="73" t="str">
        <f t="shared" si="4"/>
        <v>0.0852915589296588-0.153698737416637i</v>
      </c>
      <c r="H31" s="76">
        <f t="shared" si="5"/>
        <v>0.17577813262212053</v>
      </c>
      <c r="I31" s="54" t="str">
        <f t="shared" si="6"/>
        <v>0.0826446280991737-0.00438443369399161i</v>
      </c>
      <c r="J31" s="78" t="str">
        <f t="shared" si="7"/>
        <v>0.254038499128163-0.435319354140008i</v>
      </c>
      <c r="K31" s="78" t="str">
        <f t="shared" si="8"/>
        <v>0.0190862884393812-0.037090621082422i</v>
      </c>
      <c r="L31" s="78" t="str">
        <f t="shared" si="9"/>
        <v>-0.00407288233519121-0.00609705532889169i</v>
      </c>
      <c r="M31" s="73">
        <f t="shared" si="10"/>
        <v>-42.695209144122437</v>
      </c>
      <c r="N31" s="73">
        <f t="shared" si="11"/>
        <v>56.256755772547962</v>
      </c>
      <c r="O31" s="73">
        <f t="shared" si="12"/>
        <v>56.256755772547962</v>
      </c>
    </row>
    <row r="32" spans="1:18" ht="15">
      <c r="A32" s="74">
        <f t="shared" si="13"/>
        <v>31</v>
      </c>
      <c r="B32" s="73">
        <f t="shared" si="14"/>
        <v>31000</v>
      </c>
      <c r="C32" s="73">
        <f t="shared" si="0"/>
        <v>803.83488491048581</v>
      </c>
      <c r="D32" s="54" t="str">
        <f t="shared" si="1"/>
        <v>0.000182631616297061-0.0000568150581648731i</v>
      </c>
      <c r="E32" s="54" t="str">
        <f t="shared" si="2"/>
        <v>0.80643116012275-0.812195125529735i</v>
      </c>
      <c r="F32" s="73" t="str">
        <f t="shared" si="3"/>
        <v>0.000101134912907334-0.00019414994179243i</v>
      </c>
      <c r="G32" s="73" t="str">
        <f t="shared" si="4"/>
        <v>0.0812957710772988-0.156064496116095i</v>
      </c>
      <c r="H32" s="76">
        <f t="shared" si="5"/>
        <v>0.17596911474182961</v>
      </c>
      <c r="I32" s="54" t="str">
        <f t="shared" si="6"/>
        <v>0.0826446280991736-0.00424300034902414i</v>
      </c>
      <c r="J32" s="78" t="str">
        <f t="shared" si="7"/>
        <v>0.241812550210427-0.42818131763443i</v>
      </c>
      <c r="K32" s="78" t="str">
        <f t="shared" si="8"/>
        <v>0.018167734801685-0.0364128964898529i</v>
      </c>
      <c r="L32" s="78" t="str">
        <f t="shared" si="9"/>
        <v>-0.00420580033338556-0.00579555287469627i</v>
      </c>
      <c r="M32" s="73">
        <f t="shared" si="10"/>
        <v>-42.900757859206891</v>
      </c>
      <c r="N32" s="73">
        <f t="shared" si="11"/>
        <v>54.031817680830585</v>
      </c>
      <c r="O32" s="73">
        <f t="shared" si="12"/>
        <v>54.031817680830585</v>
      </c>
    </row>
    <row r="33" spans="1:18" ht="15">
      <c r="A33" s="74">
        <f t="shared" si="13"/>
        <v>32</v>
      </c>
      <c r="B33" s="73">
        <f t="shared" si="14"/>
        <v>32000</v>
      </c>
      <c r="C33" s="73">
        <f t="shared" si="0"/>
        <v>803.83488491048581</v>
      </c>
      <c r="D33" s="54" t="str">
        <f t="shared" si="1"/>
        <v>0.000182631417666153-0.0000550395876081553i</v>
      </c>
      <c r="E33" s="54" t="str">
        <f t="shared" si="2"/>
        <v>0.778714955716654-0.844135453351387i</v>
      </c>
      <c r="F33" s="73" t="str">
        <f t="shared" si="3"/>
        <v>0.0000957569490824845-0.000197025804574772i</v>
      </c>
      <c r="G33" s="73" t="str">
        <f t="shared" si="4"/>
        <v>0.0769727761450982-0.158376214944758i</v>
      </c>
      <c r="H33" s="76">
        <f t="shared" si="5"/>
        <v>0.17609041350315349</v>
      </c>
      <c r="I33" s="54" t="str">
        <f t="shared" si="6"/>
        <v>0.0826446280991735-0.00411040658811712i</v>
      </c>
      <c r="J33" s="78" t="str">
        <f t="shared" si="7"/>
        <v>0.230362546590482-0.421064892527067i</v>
      </c>
      <c r="K33" s="78" t="str">
        <f t="shared" si="8"/>
        <v>0.0173074790826808-0.0357456351776789i</v>
      </c>
      <c r="L33" s="78" t="str">
        <f t="shared" si="9"/>
        <v>-0.00432905368716982-0.00549253380204638i</v>
      </c>
      <c r="M33" s="73">
        <f t="shared" si="10"/>
        <v>-43.106144720828667</v>
      </c>
      <c r="N33" s="73">
        <f t="shared" si="11"/>
        <v>51.755860178013222</v>
      </c>
      <c r="O33" s="73">
        <f t="shared" si="12"/>
        <v>51.755860178013222</v>
      </c>
    </row>
    <row r="34" spans="1:18" ht="15">
      <c r="A34" s="74">
        <f t="shared" si="13"/>
        <v>33</v>
      </c>
      <c r="B34" s="73">
        <f t="shared" si="14"/>
        <v>33000</v>
      </c>
      <c r="C34" s="73">
        <f t="shared" ref="C34:C65" si="15">_ta1*_ta2*(rload/RS)</f>
        <v>803.83488491048581</v>
      </c>
      <c r="D34" s="54" t="str">
        <f t="shared" ref="D34:D65" si="16">IMDIV((COMPLEX(1,2*PI()*(B34)*(esrcout*0.001)*(cout*0.000001))),(COMPLEX(1,2*PI()*(B34)*rload*(cout*0.000001))))</f>
        <v>0.000182631236817558-0.0000533717213266532i</v>
      </c>
      <c r="E34" s="54" t="str">
        <f t="shared" ref="E34:E65" si="17">IMDIV(1,(COMPLEX((1-(B34/(fpp*1000))^2),(B34/(fpp*1000)))))</f>
        <v>0.748394849515882-0.875160525656418i</v>
      </c>
      <c r="F34" s="73" t="str">
        <f t="shared" ref="F34:F65" si="18">IMPRODUCT(D34,E34)</f>
        <v>0.000089971453303554-0.0001997747705652i</v>
      </c>
      <c r="G34" s="73" t="str">
        <f t="shared" ref="G34:G65" si="19">IMPRODUCT(C34,F34)</f>
        <v>0.0723221928114915-0.160585929705296i</v>
      </c>
      <c r="H34" s="76">
        <f t="shared" ref="H34:H65" si="20">IMABS(G34)</f>
        <v>0.17612024412990357</v>
      </c>
      <c r="I34" s="54" t="str">
        <f t="shared" ref="I34:I65" si="21">IMDIV((COMPLEX(1,(2*PI()*B34*(rf*1000)*(Cz*0.000000001)))),(COMPLEX(0,2*PI()*B34*((Cz*0.000000001)+(Cp*0.000000000001))*(RII*1000))))</f>
        <v>0.0826446280991734-0.00398584881271964i</v>
      </c>
      <c r="J34" s="78" t="str">
        <f t="shared" ref="J34:J65" si="22">IMDIV(1,(COMPLEX(1,2*PI()*B34*(((Cz*0.000000001)*(Cp*0.000000000001))/((Cz*0.000000001)+(Cp*0.000000000001)))*(rf*1000))))</f>
        <v>0.219632627408005-0.413997749252169i</v>
      </c>
      <c r="K34" s="78" t="str">
        <f t="shared" ref="K34:K65" si="23">IMPRODUCT(I34,J34)</f>
        <v>0.0165013243732535-0.035090112468029i</v>
      </c>
      <c r="L34" s="78" t="str">
        <f t="shared" ref="L34:L65" si="24">IMPRODUCT(G34,K34)</f>
        <v>-0.00444156637117443-0.00518767439553729i</v>
      </c>
      <c r="M34" s="73">
        <f t="shared" ref="M34:M65" si="25">20*LOG(IMABS(L34))</f>
        <v>-43.312463239420097</v>
      </c>
      <c r="N34" s="73">
        <f t="shared" ref="N34:N65" si="26">(180/PI())*IMARGUMENT(L34)+180</f>
        <v>49.430629399889369</v>
      </c>
      <c r="O34" s="73">
        <f t="shared" si="12"/>
        <v>49.430629399889369</v>
      </c>
    </row>
    <row r="35" spans="1:18" ht="15">
      <c r="A35" s="74">
        <f t="shared" si="13"/>
        <v>34</v>
      </c>
      <c r="B35" s="73">
        <f t="shared" si="14"/>
        <v>34000</v>
      </c>
      <c r="C35" s="73">
        <f t="shared" si="15"/>
        <v>803.83488491048581</v>
      </c>
      <c r="D35" s="54" t="str">
        <f t="shared" si="16"/>
        <v>0.000182631071690323-0.0000518019648256012i</v>
      </c>
      <c r="E35" s="54" t="str">
        <f t="shared" si="17"/>
        <v>0.715451364638305-0.904960803485952i</v>
      </c>
      <c r="F35" s="73" t="str">
        <f t="shared" si="18"/>
        <v>0.0000837849017554706-0.000202335747803797i</v>
      </c>
      <c r="G35" s="73" t="str">
        <f t="shared" si="19"/>
        <v>0.0673492268598451-0.162644532549142i</v>
      </c>
      <c r="H35" s="76">
        <f t="shared" si="20"/>
        <v>0.17603738900230198</v>
      </c>
      <c r="I35" s="54" t="str">
        <f t="shared" si="21"/>
        <v>0.0826446280991737-0.00386861796528672i</v>
      </c>
      <c r="J35" s="78" t="str">
        <f t="shared" si="22"/>
        <v>0.209570801464369-0.407002310359476i</v>
      </c>
      <c r="K35" s="78" t="str">
        <f t="shared" si="23"/>
        <v>0.0157453644976987-0.034447303942708i</v>
      </c>
      <c r="L35" s="78" t="str">
        <f t="shared" si="24"/>
        <v>-0.0045422275217935-0.00488089673649154i</v>
      </c>
      <c r="M35" s="73">
        <f t="shared" si="25"/>
        <v>-43.520795435636678</v>
      </c>
      <c r="N35" s="73">
        <f t="shared" si="26"/>
        <v>47.058337313599822</v>
      </c>
      <c r="O35" s="73">
        <f t="shared" si="12"/>
        <v>47.058337313599822</v>
      </c>
    </row>
    <row r="36" spans="1:18" ht="15">
      <c r="A36" s="74">
        <f t="shared" si="13"/>
        <v>35</v>
      </c>
      <c r="B36" s="73">
        <f t="shared" ref="B36:B67" si="27">(fs*1000/2)*(A36/100)</f>
        <v>35000</v>
      </c>
      <c r="C36" s="73">
        <f t="shared" si="15"/>
        <v>803.83488491048581</v>
      </c>
      <c r="D36" s="54" t="str">
        <f t="shared" si="16"/>
        <v>0.000182630920513647-0.0000503219086953357i</v>
      </c>
      <c r="E36" s="54" t="str">
        <f t="shared" si="17"/>
        <v>0.679909345420611-0.933208905479269i</v>
      </c>
      <c r="F36" s="73" t="str">
        <f t="shared" si="18"/>
        <v>0.0000772116162847954-0.000204647137440573i</v>
      </c>
      <c r="G36" s="73" t="str">
        <f t="shared" si="19"/>
        <v>0.0620653906900411-0.164502508171803i</v>
      </c>
      <c r="H36" s="76">
        <f t="shared" si="20"/>
        <v>0.17582146602824567</v>
      </c>
      <c r="I36" s="54" t="str">
        <f t="shared" si="21"/>
        <v>0.0826446280991736-0.00375808602342137i</v>
      </c>
      <c r="J36" s="78" t="str">
        <f t="shared" si="22"/>
        <v>0.200128804998304-0.400096571352786i</v>
      </c>
      <c r="K36" s="78" t="str">
        <f t="shared" si="23"/>
        <v>0.0150359733281972-0.0338179336081536i</v>
      </c>
      <c r="L36" s="78" t="str">
        <f t="shared" si="24"/>
        <v>-0.00462992134070918-0.0045723785870127i</v>
      </c>
      <c r="M36" s="73">
        <f t="shared" si="25"/>
        <v>-43.7322024665105</v>
      </c>
      <c r="N36" s="73">
        <f t="shared" si="26"/>
        <v>44.641729352034787</v>
      </c>
      <c r="O36" s="73">
        <f t="shared" si="12"/>
        <v>44.641729352034787</v>
      </c>
    </row>
    <row r="37" spans="1:18" ht="15">
      <c r="A37" s="74">
        <f t="shared" si="13"/>
        <v>36</v>
      </c>
      <c r="B37" s="73">
        <f t="shared" si="27"/>
        <v>36000</v>
      </c>
      <c r="C37" s="73">
        <f t="shared" si="15"/>
        <v>803.83488491048581</v>
      </c>
      <c r="D37" s="54" t="str">
        <f t="shared" si="16"/>
        <v>0.00018263078175921-0.0000489240779050327i</v>
      </c>
      <c r="E37" s="54" t="str">
        <f t="shared" si="17"/>
        <v>0.641843596575924-0.959566838734771i</v>
      </c>
      <c r="F37" s="73" t="str">
        <f t="shared" si="18"/>
        <v>0.0000702744750364581-0.000206648048030072i</v>
      </c>
      <c r="G37" s="73" t="str">
        <f t="shared" si="19"/>
        <v>0.0564890745530761-0.166110909905229i</v>
      </c>
      <c r="H37" s="76">
        <f t="shared" si="20"/>
        <v>0.17545326994218746</v>
      </c>
      <c r="I37" s="54" t="str">
        <f t="shared" si="21"/>
        <v>0.0826446280991734-0.003653694744993i</v>
      </c>
      <c r="J37" s="78" t="str">
        <f t="shared" si="22"/>
        <v>0.191261924826688-0.393294801565287i</v>
      </c>
      <c r="K37" s="78" t="str">
        <f t="shared" si="23"/>
        <v>0.0143697914971215-0.0332025152983579i</v>
      </c>
      <c r="L37" s="78" t="str">
        <f t="shared" si="24"/>
        <v>-0.00470356380415946-0.00426255850277386i</v>
      </c>
      <c r="M37" s="73">
        <f t="shared" si="25"/>
        <v>-43.947712859427071</v>
      </c>
      <c r="N37" s="73">
        <f t="shared" si="26"/>
        <v>42.184134349272654</v>
      </c>
      <c r="O37" s="73">
        <f t="shared" si="12"/>
        <v>42.184134349272654</v>
      </c>
    </row>
    <row r="38" spans="1:18" ht="15">
      <c r="A38" s="74">
        <f t="shared" si="13"/>
        <v>37</v>
      </c>
      <c r="B38" s="73">
        <f t="shared" si="27"/>
        <v>37000</v>
      </c>
      <c r="C38" s="73">
        <f t="shared" si="15"/>
        <v>803.83488491048581</v>
      </c>
      <c r="D38" s="54" t="str">
        <f t="shared" si="16"/>
        <v>0.000182630654102388-0.000047601805535299i</v>
      </c>
      <c r="E38" s="54" t="str">
        <f t="shared" si="17"/>
        <v>0.601383213294196-0.983694911223927i</v>
      </c>
      <c r="F38" s="73" t="str">
        <f t="shared" si="18"/>
        <v>0.0000630053557399703-0.00020827977184544i</v>
      </c>
      <c r="G38" s="73" t="str">
        <f t="shared" si="19"/>
        <v>0.0506459028799832-0.167422546430562i</v>
      </c>
      <c r="H38" s="76">
        <f t="shared" si="20"/>
        <v>0.17491516953032513</v>
      </c>
      <c r="I38" s="54" t="str">
        <f t="shared" si="21"/>
        <v>0.0826446280991737-0.00355494623837157i</v>
      </c>
      <c r="J38" s="78" t="str">
        <f t="shared" si="22"/>
        <v>0.182928800978693-0.386608141082402i</v>
      </c>
      <c r="K38" s="78" t="str">
        <f t="shared" si="23"/>
        <v>0.0137437115686471-0.032601388092797i</v>
      </c>
      <c r="L38" s="78" t="str">
        <f t="shared" si="24"/>
        <v>-0.00476214473035087-0.00395213392333051i</v>
      </c>
      <c r="M38" s="73">
        <f t="shared" si="25"/>
        <v>-44.168308794831702</v>
      </c>
      <c r="N38" s="73">
        <f t="shared" si="26"/>
        <v>39.68949431223777</v>
      </c>
      <c r="O38" s="73">
        <f t="shared" si="12"/>
        <v>39.68949431223777</v>
      </c>
    </row>
    <row r="39" spans="1:18" ht="15">
      <c r="A39" s="74">
        <f t="shared" si="13"/>
        <v>38</v>
      </c>
      <c r="B39" s="73">
        <f t="shared" si="27"/>
        <v>38000</v>
      </c>
      <c r="C39" s="73">
        <f t="shared" si="15"/>
        <v>803.83488491048581</v>
      </c>
      <c r="D39" s="54" t="str">
        <f t="shared" si="16"/>
        <v>0.000182630536390522-0.0000463491264477216i</v>
      </c>
      <c r="E39" s="54" t="str">
        <f t="shared" si="17"/>
        <v>0.558714077224444-1.00526207076368i</v>
      </c>
      <c r="F39" s="73" t="str">
        <f t="shared" si="18"/>
        <v>0.0000554452327815115-0.000209487460610016i</v>
      </c>
      <c r="G39" s="73" t="str">
        <f t="shared" si="19"/>
        <v>0.0445688123117614-0.168393328789642i</v>
      </c>
      <c r="H39" s="76">
        <f t="shared" si="20"/>
        <v>0.17419153886379637</v>
      </c>
      <c r="I39" s="54" t="str">
        <f t="shared" si="21"/>
        <v>0.0826446280991736-0.00346139502157233i</v>
      </c>
      <c r="J39" s="78" t="str">
        <f t="shared" si="22"/>
        <v>0.175091219216985-0.380045108072837i</v>
      </c>
      <c r="K39" s="78" t="str">
        <f t="shared" si="23"/>
        <v>0.0131548624505624-0.0320147464921086i</v>
      </c>
      <c r="L39" s="78" t="str">
        <f t="shared" si="24"/>
        <v>-0.00480477313661653-0.00364205030543548i</v>
      </c>
      <c r="M39" s="73">
        <f t="shared" si="25"/>
        <v>-44.394911006428892</v>
      </c>
      <c r="N39" s="73">
        <f t="shared" si="26"/>
        <v>37.162371707150783</v>
      </c>
      <c r="O39" s="73">
        <f t="shared" si="12"/>
        <v>37.162371707150783</v>
      </c>
    </row>
    <row r="40" spans="1:18" ht="15">
      <c r="A40" s="74">
        <f t="shared" si="13"/>
        <v>39</v>
      </c>
      <c r="B40" s="73">
        <f t="shared" si="27"/>
        <v>39000</v>
      </c>
      <c r="C40" s="73">
        <f t="shared" si="15"/>
        <v>803.83488491048581</v>
      </c>
      <c r="D40" s="54" t="str">
        <f t="shared" si="16"/>
        <v>0.000182630427616812-0.0000451606873129495i</v>
      </c>
      <c r="E40" s="54" t="str">
        <f t="shared" si="17"/>
        <v>0.514079044457808-1.02395723870554i</v>
      </c>
      <c r="F40" s="73" t="str">
        <f t="shared" si="18"/>
        <v>0.0000476438630391595-0.000210221911347022i</v>
      </c>
      <c r="G40" s="73" t="str">
        <f t="shared" si="19"/>
        <v>0.0382977991627737-0.168983705913296i</v>
      </c>
      <c r="H40" s="76">
        <f t="shared" si="20"/>
        <v>0.17326919600697482</v>
      </c>
      <c r="I40" s="54" t="str">
        <f t="shared" si="21"/>
        <v>0.0826446280991735-0.00337264130307046i</v>
      </c>
      <c r="J40" s="78" t="str">
        <f t="shared" si="22"/>
        <v>0.167713900964555-0.373612029233276i</v>
      </c>
      <c r="K40" s="78" t="str">
        <f t="shared" si="23"/>
        <v>0.0126005936111611-0.0314426660388538i</v>
      </c>
      <c r="L40" s="78" t="str">
        <f t="shared" si="24"/>
        <v>-0.00483072322758767-0.00333347991421959i</v>
      </c>
      <c r="M40" s="73">
        <f t="shared" si="25"/>
        <v>-44.628362996754007</v>
      </c>
      <c r="N40" s="73">
        <f t="shared" si="26"/>
        <v>34.607932464630437</v>
      </c>
      <c r="O40" s="73">
        <f t="shared" si="12"/>
        <v>34.607932464630437</v>
      </c>
    </row>
    <row r="41" spans="1:18" ht="15">
      <c r="A41" s="74">
        <f t="shared" si="13"/>
        <v>40</v>
      </c>
      <c r="B41" s="73">
        <f t="shared" si="27"/>
        <v>40000</v>
      </c>
      <c r="C41" s="73">
        <f t="shared" si="15"/>
        <v>803.83488491048581</v>
      </c>
      <c r="D41" s="54" t="str">
        <f t="shared" si="16"/>
        <v>0.000182630326898714-0.0000440316701345614i</v>
      </c>
      <c r="E41" s="54" t="str">
        <f t="shared" si="17"/>
        <v>0.467775467775468-1.03950103950104i</v>
      </c>
      <c r="F41" s="73" t="str">
        <f t="shared" si="18"/>
        <v>0.0000396590197191891-0.000210441349749758i</v>
      </c>
      <c r="G41" s="73" t="str">
        <f t="shared" si="19"/>
        <v>0.0318793035516371-0.169160098156504i</v>
      </c>
      <c r="H41" s="76">
        <f t="shared" si="20"/>
        <v>0.17213781921255855</v>
      </c>
      <c r="I41" s="54" t="str">
        <f t="shared" si="21"/>
        <v>0.0826446280991734-0.00328832527049371i</v>
      </c>
      <c r="J41" s="78" t="str">
        <f t="shared" si="22"/>
        <v>0.160764295960492-0.367313404472011i</v>
      </c>
      <c r="K41" s="78" t="str">
        <f t="shared" si="23"/>
        <v>0.0120784595011639-0.0308851250054306i</v>
      </c>
      <c r="L41" s="78" t="str">
        <f t="shared" si="24"/>
        <v>-0.00483947790062078-0.00302778967007462i</v>
      </c>
      <c r="M41" s="73">
        <f t="shared" si="25"/>
        <v>-44.869415375733873</v>
      </c>
      <c r="N41" s="73">
        <f t="shared" si="26"/>
        <v>32.031903809385938</v>
      </c>
      <c r="O41" s="73">
        <f t="shared" si="12"/>
        <v>32.031903809385938</v>
      </c>
    </row>
    <row r="42" spans="1:18" ht="15">
      <c r="A42" s="74">
        <f t="shared" si="13"/>
        <v>41</v>
      </c>
      <c r="B42" s="73">
        <f t="shared" si="27"/>
        <v>41000</v>
      </c>
      <c r="C42" s="73">
        <f t="shared" si="15"/>
        <v>803.83488491048581</v>
      </c>
      <c r="D42" s="54" t="str">
        <f t="shared" si="16"/>
        <v>0.00018263023345998-0.0000429577269645623i</v>
      </c>
      <c r="E42" s="54" t="str">
        <f t="shared" si="17"/>
        <v>0.420149875001565-1.05165719627986i</v>
      </c>
      <c r="F42" s="73" t="str">
        <f t="shared" si="18"/>
        <v>0.0000315552670616099-0.000210113082890971i</v>
      </c>
      <c r="G42" s="73" t="str">
        <f t="shared" si="19"/>
        <v>0.0253652244667888-0.168896225803851i</v>
      </c>
      <c r="H42" s="76">
        <f t="shared" si="20"/>
        <v>0.17079030916019797</v>
      </c>
      <c r="I42" s="54" t="str">
        <f t="shared" si="21"/>
        <v>0.0826446280991736-0.00320812221511581i</v>
      </c>
      <c r="J42" s="78" t="str">
        <f t="shared" si="22"/>
        <v>0.15421238130542-0.36115221549581i</v>
      </c>
      <c r="K42" s="78" t="str">
        <f t="shared" si="23"/>
        <v>0.011586204455704-0.0303420227031556i</v>
      </c>
      <c r="L42" s="78" t="str">
        <f t="shared" si="24"/>
        <v>-0.0048307664410807-0.00272649842060211i</v>
      </c>
      <c r="M42" s="73">
        <f t="shared" si="25"/>
        <v>-45.118711199147263</v>
      </c>
      <c r="N42" s="73">
        <f t="shared" si="26"/>
        <v>29.440507247769688</v>
      </c>
      <c r="O42" s="73">
        <f t="shared" si="12"/>
        <v>29.440507247769688</v>
      </c>
    </row>
    <row r="43" spans="1:18" ht="15">
      <c r="A43" s="74">
        <f t="shared" si="13"/>
        <v>42</v>
      </c>
      <c r="B43" s="73">
        <f t="shared" si="27"/>
        <v>42000</v>
      </c>
      <c r="C43" s="73">
        <f t="shared" si="15"/>
        <v>803.83488491048581</v>
      </c>
      <c r="D43" s="54" t="str">
        <f t="shared" si="16"/>
        <v>0.00018263014661566-0.0000419349239452391i</v>
      </c>
      <c r="E43" s="54" t="str">
        <f t="shared" si="17"/>
        <v>0.371589855273829-1.06024279358022i</v>
      </c>
      <c r="F43" s="73" t="str">
        <f t="shared" si="18"/>
        <v>0.0000234023088372769-0.000209214889159483i</v>
      </c>
      <c r="G43" s="73" t="str">
        <f t="shared" si="19"/>
        <v>0.0188115922308521-0.168174226349073i</v>
      </c>
      <c r="H43" s="76">
        <f t="shared" si="20"/>
        <v>0.16922306701619935</v>
      </c>
      <c r="I43" s="54" t="str">
        <f t="shared" si="21"/>
        <v>0.0826446280991736-0.00313173835285114i</v>
      </c>
      <c r="J43" s="78" t="str">
        <f t="shared" si="22"/>
        <v>0.148030469309629-0.355130186643715i</v>
      </c>
      <c r="K43" s="78" t="str">
        <f t="shared" si="23"/>
        <v>0.0111217482576731-0.0298131949000875i</v>
      </c>
      <c r="L43" s="78" t="str">
        <f t="shared" si="24"/>
        <v>-0.00480459319419881-0.00243122507444269i</v>
      </c>
      <c r="M43" s="73">
        <f t="shared" si="25"/>
        <v>-45.376773194229528</v>
      </c>
      <c r="N43" s="73">
        <f t="shared" si="26"/>
        <v>26.840368496191189</v>
      </c>
      <c r="O43" s="73">
        <f t="shared" si="12"/>
        <v>26.840368496191189</v>
      </c>
    </row>
    <row r="44" spans="1:18" ht="15">
      <c r="A44" s="74">
        <f t="shared" si="13"/>
        <v>43</v>
      </c>
      <c r="B44" s="73">
        <f t="shared" si="27"/>
        <v>43000</v>
      </c>
      <c r="C44" s="73">
        <f t="shared" si="15"/>
        <v>803.83488491048581</v>
      </c>
      <c r="D44" s="54" t="str">
        <f t="shared" si="16"/>
        <v>0.000182630065759511-0.0000409596931591274i</v>
      </c>
      <c r="E44" s="54" t="str">
        <f t="shared" si="17"/>
        <v>0.322513460849838-1.0651366218543i</v>
      </c>
      <c r="F44" s="73" t="str">
        <f t="shared" si="18"/>
        <v>0.0000152729853596318-0.000207736023688212i</v>
      </c>
      <c r="G44" s="73" t="str">
        <f t="shared" si="19"/>
        <v>0.0122769584287992-0.166985462693176i</v>
      </c>
      <c r="H44" s="76">
        <f t="shared" si="20"/>
        <v>0.16743616233990949</v>
      </c>
      <c r="I44" s="54" t="str">
        <f t="shared" si="21"/>
        <v>0.0826446280991735-0.00305890722836624i</v>
      </c>
      <c r="J44" s="78" t="str">
        <f t="shared" si="22"/>
        <v>0.142193025629577-0.349248005136584i</v>
      </c>
      <c r="K44" s="78" t="str">
        <f t="shared" si="23"/>
        <v>0.0106831724740479-0.0292984267728128i</v>
      </c>
      <c r="L44" s="78" t="str">
        <f t="shared" si="24"/>
        <v>-0.0047612544864887-0.00214363006612893i</v>
      </c>
      <c r="M44" s="73">
        <f t="shared" si="25"/>
        <v>-45.64399369851639</v>
      </c>
      <c r="N44" s="73">
        <f t="shared" si="26"/>
        <v>24.23840765662905</v>
      </c>
      <c r="O44" s="73">
        <f t="shared" si="12"/>
        <v>24.23840765662905</v>
      </c>
    </row>
    <row r="45" spans="1:18" ht="15">
      <c r="A45" s="74">
        <f t="shared" si="13"/>
        <v>44</v>
      </c>
      <c r="B45" s="73">
        <f t="shared" si="27"/>
        <v>44000</v>
      </c>
      <c r="C45" s="73">
        <f t="shared" si="15"/>
        <v>803.83488491048581</v>
      </c>
      <c r="D45" s="54" t="str">
        <f t="shared" si="16"/>
        <v>0.000182629990353388-0.0000400287910448934i</v>
      </c>
      <c r="E45" s="54" t="str">
        <f t="shared" si="17"/>
        <v>0.27335668044953-1.0662849237393i</v>
      </c>
      <c r="F45" s="73" t="str">
        <f t="shared" si="18"/>
        <v>0.0000072410315068513-0.000205677742778911i</v>
      </c>
      <c r="G45" s="73" t="str">
        <f t="shared" si="19"/>
        <v>0.00582059372794302-0.165330944695334i</v>
      </c>
      <c r="H45" s="76">
        <f t="shared" si="20"/>
        <v>0.16543337204203196</v>
      </c>
      <c r="I45" s="54" t="str">
        <f t="shared" si="21"/>
        <v>0.0826446280991737-0.00298938660953973i</v>
      </c>
      <c r="J45" s="78" t="str">
        <f t="shared" si="22"/>
        <v>0.13667649849761-0.343505506878773i</v>
      </c>
      <c r="K45" s="78" t="str">
        <f t="shared" si="23"/>
        <v>0.0102687076256657-0.0287974637604619i</v>
      </c>
      <c r="L45" s="78" t="str">
        <f t="shared" si="24"/>
        <v>-0.00470134191314678-0.0018653534694963i</v>
      </c>
      <c r="M45" s="73">
        <f t="shared" si="25"/>
        <v>-45.920628001851711</v>
      </c>
      <c r="N45" s="73">
        <f t="shared" si="26"/>
        <v>21.64171436375787</v>
      </c>
      <c r="O45" s="73">
        <f t="shared" si="12"/>
        <v>21.64171436375787</v>
      </c>
      <c r="P45" s="73">
        <v>-13.846</v>
      </c>
      <c r="Q45" s="73">
        <v>23.129000000000001</v>
      </c>
      <c r="R45" s="73">
        <f>B45</f>
        <v>44000</v>
      </c>
    </row>
    <row r="46" spans="1:18" ht="15">
      <c r="A46" s="74">
        <f t="shared" si="13"/>
        <v>45</v>
      </c>
      <c r="B46" s="73">
        <f t="shared" si="27"/>
        <v>45000</v>
      </c>
      <c r="C46" s="73">
        <f t="shared" si="15"/>
        <v>803.83488491048581</v>
      </c>
      <c r="D46" s="54" t="str">
        <f t="shared" si="16"/>
        <v>0.000182629919918269-0.0000391392623577641i</v>
      </c>
      <c r="E46" s="54" t="str">
        <f t="shared" si="17"/>
        <v>0.224559744711027-1.06370405389434i</v>
      </c>
      <c r="F46" s="73" t="str">
        <f t="shared" si="18"/>
        <v>-6.21263842946033E-07-0.000203053288942699i</v>
      </c>
      <c r="G46" s="73" t="str">
        <f t="shared" si="19"/>
        <v>-0.000499393549693571-0.16322131714795i</v>
      </c>
      <c r="H46" s="76">
        <f t="shared" si="20"/>
        <v>0.16322208112087391</v>
      </c>
      <c r="I46" s="54" t="str">
        <f t="shared" si="21"/>
        <v>0.0826446280991733-0.0029229557959944i</v>
      </c>
      <c r="J46" s="78" t="str">
        <f t="shared" si="22"/>
        <v>0.131459159356762-0.33790183304915i</v>
      </c>
      <c r="K46" s="78" t="str">
        <f t="shared" si="23"/>
        <v>0.00987672121388141-0.0283100206381543i</v>
      </c>
      <c r="L46" s="78" t="str">
        <f t="shared" si="24"/>
        <v>-0.00462573122791153-0.00159795360393444i</v>
      </c>
      <c r="M46" s="73">
        <f t="shared" si="25"/>
        <v>-46.20679157759848</v>
      </c>
      <c r="N46" s="73">
        <f t="shared" si="26"/>
        <v>19.057413759394024</v>
      </c>
      <c r="O46" s="73">
        <f t="shared" si="12"/>
        <v>19.057413759394024</v>
      </c>
    </row>
    <row r="47" spans="1:18" ht="15">
      <c r="A47" s="74">
        <f t="shared" si="13"/>
        <v>46</v>
      </c>
      <c r="B47" s="73">
        <f t="shared" si="27"/>
        <v>46000</v>
      </c>
      <c r="C47" s="73">
        <f t="shared" si="15"/>
        <v>803.83488491048581</v>
      </c>
      <c r="D47" s="54" t="str">
        <f t="shared" si="16"/>
        <v>0.000182629854026629-0.000038288408830771i</v>
      </c>
      <c r="E47" s="54" t="str">
        <f t="shared" si="17"/>
        <v>0.176553152797926-1.05747982144591i</v>
      </c>
      <c r="F47" s="73" t="str">
        <f t="shared" si="18"/>
        <v>-8.24534321038537E-06-0.000199887324721461i</v>
      </c>
      <c r="G47" s="73" t="str">
        <f t="shared" si="19"/>
        <v>-0.00662789451056758-0.160676404662541i</v>
      </c>
      <c r="H47" s="76">
        <f t="shared" si="20"/>
        <v>0.1608130467372714</v>
      </c>
      <c r="I47" s="54" t="str">
        <f t="shared" si="21"/>
        <v>0.0826446280991735-0.00285941327869018i</v>
      </c>
      <c r="J47" s="78" t="str">
        <f t="shared" si="22"/>
        <v>0.126520954862411-0.332435561941129i</v>
      </c>
      <c r="K47" s="78" t="str">
        <f t="shared" si="23"/>
        <v>0.00950570660123298-0.0278357890819305i</v>
      </c>
      <c r="L47" s="78" t="str">
        <f t="shared" si="24"/>
        <v>-0.00453555733123078-0.00134285008680965i</v>
      </c>
      <c r="M47" s="73">
        <f t="shared" si="25"/>
        <v>-46.502461435381321</v>
      </c>
      <c r="N47" s="73">
        <f t="shared" si="26"/>
        <v>16.492529838836163</v>
      </c>
      <c r="O47" s="73">
        <f t="shared" si="12"/>
        <v>16.492529838836163</v>
      </c>
    </row>
    <row r="48" spans="1:18" ht="15">
      <c r="A48" s="74">
        <f t="shared" si="13"/>
        <v>47</v>
      </c>
      <c r="B48" s="73">
        <f t="shared" si="27"/>
        <v>47000</v>
      </c>
      <c r="C48" s="73">
        <f t="shared" si="15"/>
        <v>803.83488491048581</v>
      </c>
      <c r="D48" s="54" t="str">
        <f t="shared" si="16"/>
        <v>0.00018262979229593-0.0000374737618366853i</v>
      </c>
      <c r="E48" s="54" t="str">
        <f t="shared" si="17"/>
        <v>0.129744340337863-1.04776357317518i</v>
      </c>
      <c r="F48" s="73" t="str">
        <f t="shared" si="18"/>
        <v>-0.0000155684606748447-0.000196214852253703i</v>
      </c>
      <c r="G48" s="73" t="str">
        <f t="shared" si="19"/>
        <v>-0.0125144717947972-0.157724343179083i</v>
      </c>
      <c r="H48" s="76">
        <f t="shared" si="20"/>
        <v>0.15822003803430182</v>
      </c>
      <c r="I48" s="54" t="str">
        <f t="shared" si="21"/>
        <v>0.0826446280991737-0.00279857469829252i</v>
      </c>
      <c r="J48" s="78" t="str">
        <f t="shared" si="22"/>
        <v>0.121843369969896-0.327104819842623i</v>
      </c>
      <c r="K48" s="78" t="str">
        <f t="shared" si="23"/>
        <v>0.00915427272501099-0.0273744439576932i</v>
      </c>
      <c r="L48" s="78" t="str">
        <f t="shared" si="24"/>
        <v>-0.00443217708093881-0.00110127494602774i</v>
      </c>
      <c r="M48" s="73">
        <f t="shared" si="25"/>
        <v>-46.807481550378284</v>
      </c>
      <c r="N48" s="73">
        <f t="shared" si="26"/>
        <v>13.953852860495317</v>
      </c>
      <c r="O48" s="73">
        <f t="shared" si="12"/>
        <v>13.953852860495317</v>
      </c>
    </row>
    <row r="49" spans="1:15" ht="15">
      <c r="A49" s="74">
        <f t="shared" si="13"/>
        <v>48</v>
      </c>
      <c r="B49" s="73">
        <f t="shared" si="27"/>
        <v>48000</v>
      </c>
      <c r="C49" s="73">
        <f t="shared" si="15"/>
        <v>803.83488491048581</v>
      </c>
      <c r="D49" s="54" t="str">
        <f t="shared" si="16"/>
        <v>0.000182629734383067-0.000036693058467213i</v>
      </c>
      <c r="E49" s="54" t="str">
        <f t="shared" si="17"/>
        <v>0.0845058374562984-1.03476535660774i</v>
      </c>
      <c r="F49" s="73" t="str">
        <f t="shared" si="18"/>
        <v>-0.0000225354270813919-0.000192079699860676i</v>
      </c>
      <c r="G49" s="73" t="str">
        <f t="shared" si="19"/>
        <v>-0.0181147624343793-0.154400363431147i</v>
      </c>
      <c r="H49" s="76">
        <f t="shared" si="20"/>
        <v>0.15545937361807513</v>
      </c>
      <c r="I49" s="54" t="str">
        <f t="shared" si="21"/>
        <v>0.0826446280991736-0.00274027105874476i</v>
      </c>
      <c r="J49" s="78" t="str">
        <f t="shared" si="22"/>
        <v>0.11740930166522-0.321907374174164i</v>
      </c>
      <c r="K49" s="78" t="str">
        <f t="shared" si="23"/>
        <v>0.00882113461045981-0.0269256485323859i</v>
      </c>
      <c r="L49" s="78" t="str">
        <f t="shared" si="24"/>
        <v>-0.00431712267688987-0.0008742346631743i</v>
      </c>
      <c r="M49" s="73">
        <f t="shared" si="25"/>
        <v>-47.121572053576067</v>
      </c>
      <c r="N49" s="73">
        <f t="shared" si="26"/>
        <v>11.44781708965138</v>
      </c>
      <c r="O49" s="73">
        <f t="shared" si="12"/>
        <v>11.44781708965138</v>
      </c>
    </row>
    <row r="50" spans="1:15" ht="15">
      <c r="A50" s="74">
        <f t="shared" si="13"/>
        <v>49</v>
      </c>
      <c r="B50" s="73">
        <f t="shared" si="27"/>
        <v>49000</v>
      </c>
      <c r="C50" s="73">
        <f t="shared" si="15"/>
        <v>803.83488491048581</v>
      </c>
      <c r="D50" s="54" t="str">
        <f t="shared" si="16"/>
        <v>0.000182629679979581-0.0000359442205412665i</v>
      </c>
      <c r="E50" s="54" t="str">
        <f t="shared" si="17"/>
        <v>0.0411656036515804-1.01874473683204i</v>
      </c>
      <c r="F50" s="73" t="str">
        <f t="shared" si="18"/>
        <v>-0.0000290999244748909-0.000187532690804885i</v>
      </c>
      <c r="G50" s="73" t="str">
        <f t="shared" si="19"/>
        <v>-0.0233915344411778-0.150745318930098i</v>
      </c>
      <c r="H50" s="76">
        <f t="shared" si="20"/>
        <v>0.15254938565215453</v>
      </c>
      <c r="I50" s="54" t="str">
        <f t="shared" si="21"/>
        <v>0.0826446280991736-0.0026843471595867i</v>
      </c>
      <c r="J50" s="78" t="str">
        <f t="shared" si="22"/>
        <v>0.113202942793532-0.316840711614554i</v>
      </c>
      <c r="K50" s="78" t="str">
        <f t="shared" si="23"/>
        <v>0.00850510464263952-0.026489058776007i</v>
      </c>
      <c r="L50" s="78" t="str">
        <f t="shared" si="24"/>
        <v>-0.00419204906152141-0.000662484981215201i</v>
      </c>
      <c r="M50" s="73">
        <f t="shared" si="25"/>
        <v>-47.444341632865196</v>
      </c>
      <c r="N50" s="73">
        <f t="shared" si="26"/>
        <v>8.9803942131688927</v>
      </c>
      <c r="O50" s="73">
        <f t="shared" si="12"/>
        <v>8.9803942131688927</v>
      </c>
    </row>
    <row r="51" spans="1:15" ht="15">
      <c r="A51" s="74">
        <f t="shared" si="13"/>
        <v>50</v>
      </c>
      <c r="B51" s="73">
        <f t="shared" si="27"/>
        <v>50000</v>
      </c>
      <c r="C51" s="73">
        <f t="shared" si="15"/>
        <v>803.83488491048581</v>
      </c>
      <c r="D51" s="54" t="str">
        <f t="shared" si="16"/>
        <v>0.000182629628807552-0.0000352253361322442i</v>
      </c>
      <c r="E51" s="54" t="str">
        <f t="shared" si="17"/>
        <v>-i</v>
      </c>
      <c r="F51" s="73" t="str">
        <f t="shared" si="18"/>
        <v>-0.0000352253361322442-0.000182629628807552i</v>
      </c>
      <c r="G51" s="73" t="str">
        <f t="shared" si="19"/>
        <v>-0.0283153540157957-0.146804066653763i</v>
      </c>
      <c r="H51" s="76">
        <f t="shared" si="20"/>
        <v>0.14950984335194231</v>
      </c>
      <c r="I51" s="54" t="str">
        <f t="shared" si="21"/>
        <v>0.0826446280991735-0.00263066021639496i</v>
      </c>
      <c r="J51" s="78" t="str">
        <f t="shared" si="22"/>
        <v>0.109209675381643-0.31190210352718i</v>
      </c>
      <c r="K51" s="78" t="str">
        <f t="shared" si="23"/>
        <v>0.0082050845515885-0.0260643268976256i</v>
      </c>
      <c r="L51" s="78" t="str">
        <f t="shared" si="24"/>
        <v>-0.00405867905697226-0.000466519136121464i</v>
      </c>
      <c r="M51" s="73">
        <f t="shared" si="25"/>
        <v>-47.775302419844522</v>
      </c>
      <c r="N51" s="73">
        <f t="shared" si="26"/>
        <v>6.5570064367782948</v>
      </c>
      <c r="O51" s="73">
        <f t="shared" si="12"/>
        <v>6.5570064367782948</v>
      </c>
    </row>
    <row r="52" spans="1:15" ht="15">
      <c r="A52" s="74">
        <f t="shared" si="13"/>
        <v>51</v>
      </c>
      <c r="B52" s="73">
        <f t="shared" si="27"/>
        <v>51000</v>
      </c>
      <c r="C52" s="73">
        <f t="shared" si="15"/>
        <v>803.83488491048581</v>
      </c>
      <c r="D52" s="54" t="str">
        <f t="shared" si="16"/>
        <v>0.00018262958061603-0.0000345346432685706i</v>
      </c>
      <c r="E52" s="54" t="str">
        <f t="shared" si="17"/>
        <v>-0.0387703964914096-0.978856545080144i</v>
      </c>
      <c r="F52" s="73" t="str">
        <f t="shared" si="18"/>
        <v>-0.0000408850828469916-0.000177429238499031i</v>
      </c>
      <c r="G52" s="73" t="str">
        <f t="shared" si="19"/>
        <v>-0.0328648558648672-0.142623811508624i</v>
      </c>
      <c r="H52" s="76">
        <f t="shared" si="20"/>
        <v>0.14636136908442066</v>
      </c>
      <c r="I52" s="54" t="str">
        <f t="shared" si="21"/>
        <v>0.0826446280991736-0.00257907864352448i</v>
      </c>
      <c r="J52" s="78" t="str">
        <f t="shared" si="22"/>
        <v>0.105415972824105-0.307088660646486i</v>
      </c>
      <c r="K52" s="78" t="str">
        <f t="shared" si="23"/>
        <v>0.00792005806341886-0.0256511042367992i</v>
      </c>
      <c r="L52" s="78" t="str">
        <f t="shared" si="24"/>
        <v>-0.00391874982235296-0.000286569024857319i</v>
      </c>
      <c r="M52" s="73">
        <f t="shared" si="25"/>
        <v>-48.113886535894686</v>
      </c>
      <c r="N52" s="73">
        <f t="shared" si="26"/>
        <v>4.1824617267631652</v>
      </c>
      <c r="O52" s="73">
        <f t="shared" si="12"/>
        <v>4.1824617267631652</v>
      </c>
    </row>
    <row r="53" spans="1:15" ht="15">
      <c r="A53" s="74">
        <f t="shared" si="13"/>
        <v>52</v>
      </c>
      <c r="B53" s="73">
        <f t="shared" si="27"/>
        <v>52000</v>
      </c>
      <c r="C53" s="73">
        <f t="shared" si="15"/>
        <v>803.83488491048581</v>
      </c>
      <c r="D53" s="54" t="str">
        <f t="shared" si="16"/>
        <v>0.000182629535177967-0.000033870515514945i</v>
      </c>
      <c r="E53" s="54" t="str">
        <f t="shared" si="17"/>
        <v>-0.0749821807052913-0.955655244283123i</v>
      </c>
      <c r="F53" s="73" t="str">
        <f t="shared" si="18"/>
        <v>-0.0000460624965872677-0.00017199118793889i</v>
      </c>
      <c r="G53" s="73" t="str">
        <f t="shared" si="19"/>
        <v>-0.037026641642916-0.138252516762475i</v>
      </c>
      <c r="H53" s="76">
        <f t="shared" si="20"/>
        <v>0.14312487758077333</v>
      </c>
      <c r="I53" s="54" t="str">
        <f t="shared" si="21"/>
        <v>0.0826446280991733-0.00252948097730285i</v>
      </c>
      <c r="J53" s="78" t="str">
        <f t="shared" si="22"/>
        <v>0.101809310298345-0.302397378683944i</v>
      </c>
      <c r="K53" s="78" t="str">
        <f t="shared" si="23"/>
        <v>0.00764908416967278-0.0252490436132114i</v>
      </c>
      <c r="L53" s="78" t="str">
        <f t="shared" si="24"/>
        <v>-0.00377396372381895-0.000122617847692533i</v>
      </c>
      <c r="M53" s="73">
        <f t="shared" si="25"/>
        <v>-48.459463446755478</v>
      </c>
      <c r="N53" s="73">
        <f t="shared" si="26"/>
        <v>1.8609120645573682</v>
      </c>
      <c r="O53" s="73">
        <f t="shared" si="12"/>
        <v>1.8609120645573682</v>
      </c>
    </row>
    <row r="54" spans="1:15" ht="15">
      <c r="A54" s="74">
        <f t="shared" si="13"/>
        <v>53</v>
      </c>
      <c r="B54" s="73">
        <f t="shared" si="27"/>
        <v>53000</v>
      </c>
      <c r="C54" s="73">
        <f t="shared" si="15"/>
        <v>803.83488491048581</v>
      </c>
      <c r="D54" s="54" t="str">
        <f t="shared" si="16"/>
        <v>0.000182629492287528-0.0000332314491858999i</v>
      </c>
      <c r="E54" s="54" t="str">
        <f t="shared" si="17"/>
        <v>-0.108527966006091-0.93074145603929i</v>
      </c>
      <c r="F54" s="73" t="str">
        <f t="shared" si="18"/>
        <v>-0.0000507502947322707-0.00016637429797983i</v>
      </c>
      <c r="G54" s="73" t="str">
        <f t="shared" si="19"/>
        <v>-0.0407948573252881-0.13373746466868i</v>
      </c>
      <c r="H54" s="76">
        <f t="shared" si="20"/>
        <v>0.13982106364992739</v>
      </c>
      <c r="I54" s="54" t="str">
        <f t="shared" si="21"/>
        <v>0.0826446280991735-0.00248175492112732i</v>
      </c>
      <c r="J54" s="78" t="str">
        <f t="shared" si="22"/>
        <v>0.0983780827861173-0.297825176258565i</v>
      </c>
      <c r="K54" s="78" t="str">
        <f t="shared" si="23"/>
        <v>0.00739129096815306-0.0248578012215454i</v>
      </c>
      <c r="L54" s="78" t="str">
        <f t="shared" si="24"/>
        <v>-0.00362594597310299+0.0000255779395440133i</v>
      </c>
      <c r="M54" s="73">
        <f t="shared" si="25"/>
        <v>-48.81135732074506</v>
      </c>
      <c r="N54" s="73">
        <f t="shared" si="26"/>
        <v>359.59583411121832</v>
      </c>
      <c r="O54" s="73">
        <f t="shared" si="12"/>
        <v>-0.40416588878167659</v>
      </c>
    </row>
    <row r="55" spans="1:15" ht="15">
      <c r="A55" s="74">
        <f t="shared" si="13"/>
        <v>54</v>
      </c>
      <c r="B55" s="73">
        <f t="shared" si="27"/>
        <v>54000</v>
      </c>
      <c r="C55" s="73">
        <f t="shared" si="15"/>
        <v>803.83488491048581</v>
      </c>
      <c r="D55" s="54" t="str">
        <f t="shared" si="16"/>
        <v>0.000182629451757757-0.0000326160519800758i</v>
      </c>
      <c r="E55" s="54" t="str">
        <f t="shared" si="17"/>
        <v>-0.139353101464065-0.9044552258485i</v>
      </c>
      <c r="F55" s="73" t="str">
        <f t="shared" si="18"/>
        <v>-0.0000549497391810512-0.000160635014035213i</v>
      </c>
      <c r="G55" s="73" t="str">
        <f t="shared" si="19"/>
        <v>-0.0441705172704615-0.12912402801959i</v>
      </c>
      <c r="H55" s="76">
        <f t="shared" si="20"/>
        <v>0.13646995716253449</v>
      </c>
      <c r="I55" s="54" t="str">
        <f t="shared" si="21"/>
        <v>0.0826446280991737-0.002435796496662i</v>
      </c>
      <c r="J55" s="78" t="str">
        <f t="shared" si="22"/>
        <v>0.0951115301009246-0.293368926341536i</v>
      </c>
      <c r="K55" s="78" t="str">
        <f t="shared" si="23"/>
        <v>0.00714587003012207-0.0244770381451621i</v>
      </c>
      <c r="L55" s="78" t="str">
        <f t="shared" si="24"/>
        <v>-0.00347621053487046+0.000158459914126797i</v>
      </c>
      <c r="M55" s="73">
        <f t="shared" si="25"/>
        <v>-49.168863687432008</v>
      </c>
      <c r="N55" s="73">
        <f t="shared" si="26"/>
        <v>357.3900304561667</v>
      </c>
      <c r="O55" s="73">
        <f t="shared" si="12"/>
        <v>-2.6099695438333015</v>
      </c>
    </row>
    <row r="56" spans="1:15" ht="15">
      <c r="A56" s="74">
        <f t="shared" si="13"/>
        <v>55</v>
      </c>
      <c r="B56" s="73">
        <f t="shared" si="27"/>
        <v>55000.000000000007</v>
      </c>
      <c r="C56" s="73">
        <f t="shared" si="15"/>
        <v>803.83488491048581</v>
      </c>
      <c r="D56" s="54" t="str">
        <f t="shared" si="16"/>
        <v>0.000182629413418542-0.0000320230328543933i</v>
      </c>
      <c r="E56" s="54" t="str">
        <f t="shared" si="17"/>
        <v>-0.167450761502273-0.877123036440475i</v>
      </c>
      <c r="F56" s="73" t="str">
        <f t="shared" si="18"/>
        <v>-0.0000586695741629268-0.000154826184403934i</v>
      </c>
      <c r="G56" s="73" t="str">
        <f t="shared" si="19"/>
        <v>-0.0471606503950035-0.124454688121466i</v>
      </c>
      <c r="H56" s="76">
        <f t="shared" si="20"/>
        <v>0.13309055691930632</v>
      </c>
      <c r="I56" s="54" t="str">
        <f t="shared" si="21"/>
        <v>0.0826446280991734-0.00239150928763178i</v>
      </c>
      <c r="J56" s="78" t="str">
        <f t="shared" si="22"/>
        <v>0.0919996683503754-0.289025482222237i</v>
      </c>
      <c r="K56" s="78" t="str">
        <f t="shared" si="23"/>
        <v>0.00691207125096734-0.02410642155076i</v>
      </c>
      <c r="L56" s="78" t="str">
        <f t="shared" si="24"/>
        <v>-0.00332613495159665+0.000276634847217479i</v>
      </c>
      <c r="M56" s="73">
        <f t="shared" si="25"/>
        <v>-49.531264832278488</v>
      </c>
      <c r="N56" s="73">
        <f t="shared" si="26"/>
        <v>355.2456487275428</v>
      </c>
      <c r="O56" s="73">
        <f>IF(N56&gt;180,-(360-N56),N56)</f>
        <v>-4.7543512724571997</v>
      </c>
    </row>
    <row r="57" spans="1:15" ht="15">
      <c r="A57" s="74">
        <f t="shared" si="13"/>
        <v>56</v>
      </c>
      <c r="B57" s="73">
        <f t="shared" si="27"/>
        <v>56000.000000000007</v>
      </c>
      <c r="C57" s="73">
        <f t="shared" si="15"/>
        <v>803.83488491048581</v>
      </c>
      <c r="D57" s="54" t="str">
        <f t="shared" si="16"/>
        <v>0.000182629377114819-0.0000314511929831354i</v>
      </c>
      <c r="E57" s="54" t="str">
        <f t="shared" si="17"/>
        <v>-0.192855936857753-0.84905129434231i</v>
      </c>
      <c r="F57" s="73" t="str">
        <f t="shared" si="18"/>
        <v>-0.0000619248357321672-0.00014899615973621i</v>
      </c>
      <c r="G57" s="73" t="str">
        <f t="shared" si="19"/>
        <v>-0.0497773432038674-0.119768310913661i</v>
      </c>
      <c r="H57" s="76">
        <f t="shared" si="20"/>
        <v>0.12970054816980139</v>
      </c>
      <c r="I57" s="54" t="str">
        <f t="shared" si="21"/>
        <v>0.0826446280991735-0.00234880376463836i</v>
      </c>
      <c r="J57" s="78" t="str">
        <f t="shared" si="22"/>
        <v>0.0890332272957395-0.284791698848553i</v>
      </c>
      <c r="K57" s="78" t="str">
        <f t="shared" si="23"/>
        <v>0.00668919814393234-0.0237456256165206i</v>
      </c>
      <c r="L57" s="78" t="str">
        <f t="shared" si="24"/>
        <v>-0.00317694398344803+0.000380840192838519i</v>
      </c>
      <c r="M57" s="73">
        <f t="shared" si="25"/>
        <v>-49.89784351899948</v>
      </c>
      <c r="N57" s="73">
        <f t="shared" si="26"/>
        <v>353.16421529471063</v>
      </c>
      <c r="O57" s="73">
        <f t="shared" ref="O57:O101" si="28">IF(N57&gt;180,-(360-N57),N57)</f>
        <v>-6.8357847052893703</v>
      </c>
    </row>
    <row r="58" spans="1:15" ht="15">
      <c r="A58" s="74">
        <f t="shared" si="13"/>
        <v>57</v>
      </c>
      <c r="B58" s="73">
        <f t="shared" si="27"/>
        <v>56999.999999999993</v>
      </c>
      <c r="C58" s="73">
        <f t="shared" si="15"/>
        <v>803.83488491048581</v>
      </c>
      <c r="D58" s="54" t="str">
        <f t="shared" si="16"/>
        <v>0.000182629342705007-0.0000308994176687053i</v>
      </c>
      <c r="E58" s="54" t="str">
        <f t="shared" si="17"/>
        <v>-0.215638830467112-0.820521584554433i</v>
      </c>
      <c r="F58" s="73" t="str">
        <f t="shared" si="18"/>
        <v>-0.0000647356170172204-0.000143188203374252i</v>
      </c>
      <c r="G58" s="73" t="str">
        <f t="shared" si="19"/>
        <v>-0.0520367472546466-0.115099672979881i</v>
      </c>
      <c r="H58" s="76">
        <f t="shared" si="20"/>
        <v>0.12631610263509366</v>
      </c>
      <c r="I58" s="54" t="str">
        <f t="shared" si="21"/>
        <v>0.0826446280991735-0.00230759668104821i</v>
      </c>
      <c r="J58" s="78" t="str">
        <f t="shared" si="22"/>
        <v>0.0862035931063707-0.280664450263873i</v>
      </c>
      <c r="K58" s="78" t="str">
        <f t="shared" si="23"/>
        <v>0.00647660353917135-0.0233943322380635i</v>
      </c>
      <c r="L58" s="78" t="str">
        <f t="shared" si="24"/>
        <v>-0.00302970137162021+0.000471910004484379i</v>
      </c>
      <c r="M58" s="73">
        <f t="shared" si="25"/>
        <v>-50.267894787587039</v>
      </c>
      <c r="N58" s="73">
        <f t="shared" si="26"/>
        <v>351.14668007727096</v>
      </c>
      <c r="O58" s="73">
        <f t="shared" si="28"/>
        <v>-8.8533199227290424</v>
      </c>
    </row>
    <row r="59" spans="1:15" ht="15">
      <c r="A59" s="74">
        <f t="shared" si="13"/>
        <v>58</v>
      </c>
      <c r="B59" s="73">
        <f t="shared" si="27"/>
        <v>57999.999999999993</v>
      </c>
      <c r="C59" s="73">
        <f t="shared" si="15"/>
        <v>803.83488491048581</v>
      </c>
      <c r="D59" s="54" t="str">
        <f t="shared" si="16"/>
        <v>0.000182629310059624-0.0000303666690892018i</v>
      </c>
      <c r="E59" s="54" t="str">
        <f t="shared" si="17"/>
        <v>-0.235898099010801-0.791787600846437i</v>
      </c>
      <c r="F59" s="73" t="str">
        <f t="shared" si="18"/>
        <v>-0.0000671258591305562-0.000137440183744917i</v>
      </c>
      <c r="G59" s="73" t="str">
        <f t="shared" si="19"/>
        <v>-0.0539581072487281-0.110479214282671i</v>
      </c>
      <c r="H59" s="76">
        <f t="shared" si="20"/>
        <v>0.12295175527979085</v>
      </c>
      <c r="I59" s="54" t="str">
        <f t="shared" si="21"/>
        <v>0.0826446280991736-0.00226781053137497i</v>
      </c>
      <c r="J59" s="78" t="str">
        <f t="shared" si="22"/>
        <v>0.0835027560425656-0.276640643752615i</v>
      </c>
      <c r="K59" s="78" t="str">
        <f t="shared" si="23"/>
        <v>0.00627368565308532-0.023052231549603i</v>
      </c>
      <c r="L59" s="78" t="str">
        <f t="shared" si="24"/>
        <v>-0.00288530863237632+0.00055074292066666i</v>
      </c>
      <c r="M59" s="73">
        <f t="shared" si="25"/>
        <v>-50.640735718556826</v>
      </c>
      <c r="N59" s="73">
        <f t="shared" si="26"/>
        <v>349.19346903824169</v>
      </c>
      <c r="O59" s="73">
        <f t="shared" si="28"/>
        <v>-10.806530961758313</v>
      </c>
    </row>
    <row r="60" spans="1:15" ht="15">
      <c r="A60" s="74">
        <f t="shared" si="13"/>
        <v>59</v>
      </c>
      <c r="B60" s="73">
        <f t="shared" si="27"/>
        <v>59000</v>
      </c>
      <c r="C60" s="73">
        <f t="shared" si="15"/>
        <v>803.83488491048581</v>
      </c>
      <c r="D60" s="54" t="str">
        <f t="shared" si="16"/>
        <v>0.000182629279060068-0.0000298519797835308i</v>
      </c>
      <c r="E60" s="54" t="str">
        <f t="shared" si="17"/>
        <v>-0.253754296104207-0.763073571363313i</v>
      </c>
      <c r="F60" s="73" t="str">
        <f t="shared" si="18"/>
        <v>-0.0000691222209815906-0.000131784508090586i</v>
      </c>
      <c r="G60" s="73" t="str">
        <f t="shared" si="19"/>
        <v>-0.0555628525474941-0.105932984893981i</v>
      </c>
      <c r="H60" s="76">
        <f t="shared" si="20"/>
        <v>0.11962034890336583</v>
      </c>
      <c r="I60" s="54" t="str">
        <f t="shared" si="21"/>
        <v>0.0826446280991736-0.00222937306474149i</v>
      </c>
      <c r="J60" s="78" t="str">
        <f t="shared" si="22"/>
        <v>0.0809232626359622-0.272717231212685i</v>
      </c>
      <c r="K60" s="78" t="str">
        <f t="shared" si="23"/>
        <v>0.00607988449556441-0.0227190222918403i</v>
      </c>
      <c r="L60" s="78" t="str">
        <f t="shared" si="24"/>
        <v>-0.00274450957098038+0.00061827337319898i</v>
      </c>
      <c r="M60" s="73">
        <f t="shared" si="25"/>
        <v>-51.01571317401465</v>
      </c>
      <c r="N60" s="73">
        <f t="shared" si="26"/>
        <v>347.3045412135898</v>
      </c>
      <c r="O60" s="73">
        <f t="shared" si="28"/>
        <v>-12.6954587864102</v>
      </c>
    </row>
    <row r="61" spans="1:15" ht="15">
      <c r="A61" s="74">
        <f t="shared" si="13"/>
        <v>60</v>
      </c>
      <c r="B61" s="73">
        <f t="shared" si="27"/>
        <v>60000</v>
      </c>
      <c r="C61" s="73">
        <f t="shared" si="15"/>
        <v>803.83488491048581</v>
      </c>
      <c r="D61" s="54" t="str">
        <f t="shared" si="16"/>
        <v>0.000182629249597537-0.0000293544467880036i</v>
      </c>
      <c r="E61" s="54" t="str">
        <f t="shared" si="17"/>
        <v>-0.269343780607248-0.734573947110676i</v>
      </c>
      <c r="F61" s="73" t="str">
        <f t="shared" si="18"/>
        <v>-0.0000707530643783795-0.000126248251059208i</v>
      </c>
      <c r="G61" s="73" t="str">
        <f t="shared" si="19"/>
        <v>-0.0568737813616589-0.101482748360329i</v>
      </c>
      <c r="H61" s="76">
        <f t="shared" si="20"/>
        <v>0.11633303581158552</v>
      </c>
      <c r="I61" s="54" t="str">
        <f t="shared" si="21"/>
        <v>0.0826446280991735-0.0021922168469958i</v>
      </c>
      <c r="J61" s="78" t="str">
        <f t="shared" si="22"/>
        <v>0.0784581719709133-0.268891218194079i</v>
      </c>
      <c r="K61" s="78" t="str">
        <f t="shared" si="23"/>
        <v>0.00589467858534284-0.0223944120531625i</v>
      </c>
      <c r="L61" s="78" t="str">
        <f t="shared" si="24"/>
        <v>-0.00260789914412865+0.000675446711293095i</v>
      </c>
      <c r="M61" s="73">
        <f t="shared" si="25"/>
        <v>-51.392209619231402</v>
      </c>
      <c r="N61" s="73">
        <f t="shared" si="26"/>
        <v>345.47944754361686</v>
      </c>
      <c r="O61" s="73">
        <f t="shared" si="28"/>
        <v>-14.520552456383143</v>
      </c>
    </row>
    <row r="62" spans="1:15" ht="15">
      <c r="A62" s="74">
        <f t="shared" si="13"/>
        <v>61</v>
      </c>
      <c r="B62" s="73">
        <f t="shared" si="27"/>
        <v>61000</v>
      </c>
      <c r="C62" s="73">
        <f t="shared" si="15"/>
        <v>803.83488491048581</v>
      </c>
      <c r="D62" s="54" t="str">
        <f t="shared" si="16"/>
        <v>0.000182629221572072-0.0000288732263496654i</v>
      </c>
      <c r="E62" s="54" t="str">
        <f t="shared" si="17"/>
        <v>-0.282813264215408-0.706454099800979i</v>
      </c>
      <c r="F62" s="73" t="str">
        <f t="shared" si="18"/>
        <v>-0.0000720475754231195-0.000120853430930672i</v>
      </c>
      <c r="G62" s="73" t="str">
        <f t="shared" si="19"/>
        <v>-0.0579143544983228-0.0971462037431941i</v>
      </c>
      <c r="H62" s="76">
        <f t="shared" si="20"/>
        <v>0.11309932519105313</v>
      </c>
      <c r="I62" s="54" t="str">
        <f t="shared" si="21"/>
        <v>0.0826446280991737-0.00215627886589751i</v>
      </c>
      <c r="J62" s="78" t="str">
        <f t="shared" si="22"/>
        <v>0.0761010157030715-0.265159670975871i</v>
      </c>
      <c r="K62" s="78" t="str">
        <f t="shared" si="23"/>
        <v>0.00571758194613611-0.022078117406534i</v>
      </c>
      <c r="L62" s="78" t="str">
        <f t="shared" si="24"/>
        <v>-0.00247593535954305+0.000723198537479854i</v>
      </c>
      <c r="M62" s="73">
        <f t="shared" si="25"/>
        <v>-51.769647193938191</v>
      </c>
      <c r="N62" s="73">
        <f t="shared" si="26"/>
        <v>343.71738925699316</v>
      </c>
      <c r="O62" s="73">
        <f t="shared" si="28"/>
        <v>-16.282610743006842</v>
      </c>
    </row>
    <row r="63" spans="1:15" ht="15">
      <c r="A63" s="74">
        <f t="shared" si="13"/>
        <v>62</v>
      </c>
      <c r="B63" s="73">
        <f t="shared" si="27"/>
        <v>62000</v>
      </c>
      <c r="C63" s="73">
        <f t="shared" si="15"/>
        <v>803.83488491048581</v>
      </c>
      <c r="D63" s="54" t="str">
        <f t="shared" si="16"/>
        <v>0.000182629194891712-0.0000284075291512353i</v>
      </c>
      <c r="E63" s="54" t="str">
        <f t="shared" si="17"/>
        <v>-0.294315093739357-0.678851778714291i</v>
      </c>
      <c r="F63" s="73" t="str">
        <f t="shared" si="18"/>
        <v>-0.0000730350303072917-0.000115617389192348i</v>
      </c>
      <c r="G63" s="73" t="str">
        <f t="shared" si="19"/>
        <v>-0.0587081051814957-0.0929372907350819i</v>
      </c>
      <c r="H63" s="76">
        <f t="shared" si="20"/>
        <v>0.10992716508297076</v>
      </c>
      <c r="I63" s="54" t="str">
        <f t="shared" si="21"/>
        <v>0.0826446280991734-0.00212150017451207i</v>
      </c>
      <c r="J63" s="78" t="str">
        <f t="shared" si="22"/>
        <v>0.0738457614823078-0.261519721997034i</v>
      </c>
      <c r="K63" s="78" t="str">
        <f t="shared" si="23"/>
        <v>0.00554814135855054-0.0217698639609158i</v>
      </c>
      <c r="L63" s="78" t="str">
        <f t="shared" si="24"/>
        <v>-0.0023489530426384+0.000762438236725353i</v>
      </c>
      <c r="M63" s="73">
        <f t="shared" si="25"/>
        <v>-52.147490242677968</v>
      </c>
      <c r="N63" s="73">
        <f t="shared" si="26"/>
        <v>342.01727406039049</v>
      </c>
      <c r="O63" s="73">
        <f t="shared" si="28"/>
        <v>-17.982725939609509</v>
      </c>
    </row>
    <row r="64" spans="1:15" ht="15">
      <c r="A64" s="74">
        <f t="shared" si="13"/>
        <v>63</v>
      </c>
      <c r="B64" s="73">
        <f t="shared" si="27"/>
        <v>63000</v>
      </c>
      <c r="C64" s="73">
        <f t="shared" si="15"/>
        <v>803.83488491048581</v>
      </c>
      <c r="D64" s="54" t="str">
        <f t="shared" si="16"/>
        <v>0.000182629169471735-0.0000279566159908154i</v>
      </c>
      <c r="E64" s="54" t="str">
        <f t="shared" si="17"/>
        <v>-0.304003299211843-0.65187909633581i</v>
      </c>
      <c r="F64" s="73" t="str">
        <f t="shared" si="18"/>
        <v>-0.0000737442036204262-0.000110553234463788i</v>
      </c>
      <c r="G64" s="73" t="str">
        <f t="shared" si="19"/>
        <v>-0.0592781634300407-0.088866546501681i</v>
      </c>
      <c r="H64" s="76">
        <f t="shared" si="20"/>
        <v>0.10682304876183814</v>
      </c>
      <c r="I64" s="54" t="str">
        <f t="shared" si="21"/>
        <v>0.0826446280991735-0.00208782556856743i</v>
      </c>
      <c r="J64" s="78" t="str">
        <f t="shared" si="22"/>
        <v>0.0716867794760187-0.257968573908481i</v>
      </c>
      <c r="K64" s="78" t="str">
        <f t="shared" si="23"/>
        <v>0.00538593384493003-0.0214693863430589i</v>
      </c>
      <c r="L64" s="78" t="str">
        <f t="shared" si="24"/>
        <v>-0.00222717848650115+0.000794036451901077i</v>
      </c>
      <c r="M64" s="73">
        <f t="shared" si="25"/>
        <v>-52.525246532108611</v>
      </c>
      <c r="N64" s="73">
        <f t="shared" si="26"/>
        <v>340.37776886473631</v>
      </c>
      <c r="O64" s="73">
        <f t="shared" si="28"/>
        <v>-19.622231135263689</v>
      </c>
    </row>
    <row r="65" spans="1:15" ht="15">
      <c r="A65" s="74">
        <f t="shared" si="13"/>
        <v>64</v>
      </c>
      <c r="B65" s="73">
        <f t="shared" si="27"/>
        <v>64000</v>
      </c>
      <c r="C65" s="73">
        <f t="shared" si="15"/>
        <v>803.83488491048581</v>
      </c>
      <c r="D65" s="54" t="str">
        <f t="shared" si="16"/>
        <v>0.000182629145233985-0.000027519793866626i</v>
      </c>
      <c r="E65" s="54" t="str">
        <f t="shared" si="17"/>
        <v>-0.312030390352364-0.625624842811758i</v>
      </c>
      <c r="F65" s="73" t="str">
        <f t="shared" si="18"/>
        <v>-0.0000742029101890988-0.000105670318257238i</v>
      </c>
      <c r="G65" s="73" t="str">
        <f t="shared" si="19"/>
        <v>-0.0596468877718774-0.0849414881147613i</v>
      </c>
      <c r="H65" s="76">
        <f t="shared" si="20"/>
        <v>0.10379213661940423</v>
      </c>
      <c r="I65" s="54" t="str">
        <f t="shared" si="21"/>
        <v>0.0826446280991737-0.00205520329405857i</v>
      </c>
      <c r="J65" s="78" t="str">
        <f t="shared" si="22"/>
        <v>0.0696188117156935-0.254503502472929i</v>
      </c>
      <c r="K65" s="78" t="str">
        <f t="shared" si="23"/>
        <v>0.00523056436631808-0.0211764281229789i</v>
      </c>
      <c r="L65" s="78" t="str">
        <f t="shared" si="24"/>
        <v>-0.00211074420346246+0.00081881611070545i</v>
      </c>
      <c r="M65" s="73">
        <f t="shared" si="25"/>
        <v>-52.902467384743503</v>
      </c>
      <c r="N65" s="73">
        <f t="shared" si="26"/>
        <v>338.79734820634303</v>
      </c>
      <c r="O65" s="73">
        <f t="shared" si="28"/>
        <v>-21.202651793656969</v>
      </c>
    </row>
    <row r="66" spans="1:15" ht="15">
      <c r="A66" s="74">
        <f t="shared" si="13"/>
        <v>65</v>
      </c>
      <c r="B66" s="73">
        <f t="shared" si="27"/>
        <v>65000</v>
      </c>
      <c r="C66" s="73">
        <f t="shared" ref="C66:C101" si="29">_ta1*_ta2*(rload/RS)</f>
        <v>803.83488491048581</v>
      </c>
      <c r="D66" s="54" t="str">
        <f t="shared" ref="D66:D101" si="30">IMDIV((COMPLEX(1,2*PI()*(B66)*(esrcout*0.001)*(cout*0.000001))),(COMPLEX(1,2*PI()*(B66)*rload*(cout*0.000001))))</f>
        <v>0.000182629122106273-0.0000270964124231508i</v>
      </c>
      <c r="E66" s="54" t="str">
        <f t="shared" ref="E66:E101" si="31">IMDIV(1,(COMPLEX((1-(B66/(fpp*1000))^2),(B66/(fpp*1000)))))</f>
        <v>-0.318544850191589-0.60015696412908i</v>
      </c>
      <c r="F66" s="73" t="str">
        <f t="shared" ref="F66:F97" si="32">IMPRODUCT(D66,E66)</f>
        <v>-0.0000744376669606318-0.000100974716848798i</v>
      </c>
      <c r="G66" s="73" t="str">
        <f t="shared" ref="G66:G97" si="33">IMPRODUCT(C66,F66)</f>
        <v>-0.0598355934543045-0.0811669998970224i</v>
      </c>
      <c r="H66" s="76">
        <f t="shared" ref="H66:H97" si="34">IMABS(G66)</f>
        <v>0.10083838612508653</v>
      </c>
      <c r="I66" s="54" t="str">
        <f t="shared" ref="I66:I101" si="35">IMDIV((COMPLEX(1,(2*PI()*B66*(rf*1000)*(Cz*0.000000001)))),(COMPLEX(0,2*PI()*B66*((Cz*0.000000001)+(Cp*0.000000000001))*(RII*1000))))</f>
        <v>0.0826446280991734-0.00202358478184228i</v>
      </c>
      <c r="J66" s="78" t="str">
        <f t="shared" ref="J66:J101" si="36">IMDIV(1,(COMPLEX(1,2*PI()*B66*(((Cz*0.000000001)*(Cp*0.000000000001))/((Cz*0.000000001)+(Cp*0.000000000001)))*(rf*1000))))</f>
        <v>0.0676369440144277-0.251121858504625i</v>
      </c>
      <c r="K66" s="78" t="str">
        <f t="shared" ref="K66:K97" si="37">IMPRODUCT(I66,J66)</f>
        <v>0.00508166371257908-0.0208907416942859i</v>
      </c>
      <c r="L66" s="78" t="str">
        <f t="shared" ref="L66:L97" si="38">IMPRODUCT(G66,K66)</f>
        <v>-0.0019997031929262+0.000837546528942571i</v>
      </c>
      <c r="M66" s="73">
        <f t="shared" ref="M66:M97" si="39">20*LOG(IMABS(L66))</f>
        <v>-53.278746947864171</v>
      </c>
      <c r="N66" s="73">
        <f t="shared" ref="N66:N101" si="40">(180/PI())*IMARGUMENT(L66)+180</f>
        <v>337.27433788309168</v>
      </c>
      <c r="O66" s="73">
        <f t="shared" si="28"/>
        <v>-22.725662116908325</v>
      </c>
    </row>
    <row r="67" spans="1:15" ht="15">
      <c r="A67" s="74">
        <f t="shared" si="13"/>
        <v>66</v>
      </c>
      <c r="B67" s="73">
        <f t="shared" si="27"/>
        <v>66000</v>
      </c>
      <c r="C67" s="73">
        <f t="shared" si="29"/>
        <v>803.83488491048581</v>
      </c>
      <c r="D67" s="54" t="str">
        <f t="shared" si="30"/>
        <v>0.000182629100021836-0.0000266858607203592i</v>
      </c>
      <c r="E67" s="54" t="str">
        <f t="shared" si="31"/>
        <v>-0.323689253851623-0.57552507419739i</v>
      </c>
      <c r="F67" s="73" t="str">
        <f t="shared" si="32"/>
        <v>-0.0000744734590887675-0.0000964696999957083i</v>
      </c>
      <c r="G67" s="73" t="str">
        <f t="shared" si="33"/>
        <v>-0.0598643644155052-0.0775457101933993i</v>
      </c>
      <c r="H67" s="76">
        <f t="shared" si="34"/>
        <v>9.7964683923703222E-2</v>
      </c>
      <c r="I67" s="54" t="str">
        <f t="shared" si="35"/>
        <v>0.0826446280991736-0.00199292440635982i</v>
      </c>
      <c r="J67" s="78" t="str">
        <f t="shared" si="36"/>
        <v>0.0657365802258703-0.247821069011652i</v>
      </c>
      <c r="K67" s="78" t="str">
        <f t="shared" si="37"/>
        <v>0.00493888656843504-0.0206120881187304i</v>
      </c>
      <c r="L67" s="78" t="str">
        <f t="shared" si="38"/>
        <v>-0.00189404231707552+0.000850940087990246i</v>
      </c>
      <c r="M67" s="73">
        <f t="shared" si="39"/>
        <v>-53.653720797457609</v>
      </c>
      <c r="N67" s="73">
        <f t="shared" si="40"/>
        <v>335.80695361771484</v>
      </c>
      <c r="O67" s="73">
        <f t="shared" si="28"/>
        <v>-24.193046382285161</v>
      </c>
    </row>
    <row r="68" spans="1:15" ht="15">
      <c r="A68" s="74">
        <f t="shared" ref="A68:A100" si="41">1+A67</f>
        <v>67</v>
      </c>
      <c r="B68" s="73">
        <f t="shared" ref="B68:B99" si="42">(fs*1000/2)*(A68/100)</f>
        <v>67000</v>
      </c>
      <c r="C68" s="73">
        <f t="shared" si="29"/>
        <v>803.83488491048581</v>
      </c>
      <c r="D68" s="54" t="str">
        <f t="shared" si="30"/>
        <v>0.000182629078918856-0.000026287564292252i</v>
      </c>
      <c r="E68" s="54" t="str">
        <f t="shared" si="31"/>
        <v>-0.327598930100435-0.551762903889622i</v>
      </c>
      <c r="F68" s="73" t="str">
        <f t="shared" si="32"/>
        <v>-0.0000743335936691232-0.0000921561729818668i</v>
      </c>
      <c r="G68" s="73" t="str">
        <f t="shared" si="33"/>
        <v>-0.0597519357120025-0.0740783467026697i</v>
      </c>
      <c r="H68" s="76">
        <f t="shared" si="34"/>
        <v>9.5172975531566797E-2</v>
      </c>
      <c r="I68" s="54" t="str">
        <f t="shared" si="35"/>
        <v>0.0826446280991735-0.00196317926596639i</v>
      </c>
      <c r="J68" s="78" t="str">
        <f t="shared" si="36"/>
        <v>0.0639134186359819-0.244598637678634i</v>
      </c>
      <c r="K68" s="78" t="str">
        <f t="shared" si="37"/>
        <v>0.00480190973974319-0.0203402369427984i</v>
      </c>
      <c r="L68" s="78" t="str">
        <f t="shared" si="38"/>
        <v>-0.00179369452632704+0.000859650995637366i</v>
      </c>
      <c r="M68" s="73">
        <f t="shared" si="39"/>
        <v>-54.027064053521549</v>
      </c>
      <c r="N68" s="73">
        <f t="shared" si="40"/>
        <v>334.39333478421975</v>
      </c>
      <c r="O68" s="73">
        <f t="shared" si="28"/>
        <v>-25.606665215780254</v>
      </c>
    </row>
    <row r="69" spans="1:15" ht="15">
      <c r="A69" s="74">
        <f t="shared" si="41"/>
        <v>68</v>
      </c>
      <c r="B69" s="73">
        <f t="shared" si="42"/>
        <v>68000</v>
      </c>
      <c r="C69" s="73">
        <f t="shared" si="29"/>
        <v>803.83488491048581</v>
      </c>
      <c r="D69" s="54" t="str">
        <f t="shared" si="30"/>
        <v>0.000182629058740027-0.0000259009824649475i</v>
      </c>
      <c r="E69" s="54" t="str">
        <f t="shared" si="31"/>
        <v>-0.330401080778646-0.528890618948869i</v>
      </c>
      <c r="F69" s="73" t="str">
        <f t="shared" si="32"/>
        <v>-0.0000740396250365616-0.0000880330833154148i</v>
      </c>
      <c r="G69" s="73" t="str">
        <f t="shared" si="33"/>
        <v>-0.05951563347008-0.0707640633951617i</v>
      </c>
      <c r="H69" s="76">
        <f t="shared" si="34"/>
        <v>9.2464389337405833E-2</v>
      </c>
      <c r="I69" s="54" t="str">
        <f t="shared" si="35"/>
        <v>0.0826446280991737-0.00193430898264336i</v>
      </c>
      <c r="J69" s="78" t="str">
        <f t="shared" si="36"/>
        <v>0.0621634302981034-0.241452144806536i</v>
      </c>
      <c r="K69" s="78" t="str">
        <f t="shared" si="37"/>
        <v>0.00467043052577787-0.0200749659929015i</v>
      </c>
      <c r="L69" s="78" t="str">
        <f t="shared" si="38"/>
        <v>-0.00169854979749707+0.000864275676149003i</v>
      </c>
      <c r="M69" s="73">
        <f t="shared" si="39"/>
        <v>-54.398489157706187</v>
      </c>
      <c r="N69" s="73">
        <f t="shared" si="40"/>
        <v>333.03157339611005</v>
      </c>
      <c r="O69" s="73">
        <f t="shared" si="28"/>
        <v>-26.968426603889952</v>
      </c>
    </row>
    <row r="70" spans="1:15" ht="15">
      <c r="A70" s="74">
        <f t="shared" si="41"/>
        <v>69</v>
      </c>
      <c r="B70" s="73">
        <f t="shared" si="42"/>
        <v>69000</v>
      </c>
      <c r="C70" s="73">
        <f t="shared" si="29"/>
        <v>803.83488491048581</v>
      </c>
      <c r="D70" s="54" t="str">
        <f t="shared" si="30"/>
        <v>0.000182629039432165-0.0000255256059079774i</v>
      </c>
      <c r="E70" s="54" t="str">
        <f t="shared" si="31"/>
        <v>-0.332214276180469-0.506916962769844i</v>
      </c>
      <c r="F70" s="73" t="str">
        <f t="shared" si="32"/>
        <v>-0.0000736113367642229-0.0000840977872917405i</v>
      </c>
      <c r="G70" s="73" t="str">
        <f t="shared" si="33"/>
        <v>-0.0591713604159761-0.0676007351688827i</v>
      </c>
      <c r="H70" s="76">
        <f t="shared" si="34"/>
        <v>8.9839352673818595E-2</v>
      </c>
      <c r="I70" s="54" t="str">
        <f t="shared" si="35"/>
        <v>0.0826446280991734-0.00190627551912678i</v>
      </c>
      <c r="J70" s="78" t="str">
        <f t="shared" si="36"/>
        <v>0.0604828391392298-0.23837924680829i</v>
      </c>
      <c r="K70" s="78" t="str">
        <f t="shared" si="37"/>
        <v>0.00454416522458525-0.0198160611546106i</v>
      </c>
      <c r="L70" s="78" t="str">
        <f t="shared" si="38"/>
        <v>-0.00160846474049689+0.000865354386693653i</v>
      </c>
      <c r="M70" s="73">
        <f t="shared" si="39"/>
        <v>-54.767743439015142</v>
      </c>
      <c r="N70" s="73">
        <f t="shared" si="40"/>
        <v>331.71973866515867</v>
      </c>
      <c r="O70" s="73">
        <f t="shared" si="28"/>
        <v>-28.280261334841327</v>
      </c>
    </row>
    <row r="71" spans="1:15" ht="15">
      <c r="A71" s="74">
        <f t="shared" si="41"/>
        <v>70</v>
      </c>
      <c r="B71" s="73">
        <f t="shared" si="42"/>
        <v>70000</v>
      </c>
      <c r="C71" s="73">
        <f t="shared" si="29"/>
        <v>803.83488491048581</v>
      </c>
      <c r="D71" s="54" t="str">
        <f t="shared" si="30"/>
        <v>0.000182629020945858-0.0000251609543954715i</v>
      </c>
      <c r="E71" s="54" t="str">
        <f t="shared" si="31"/>
        <v>-0.333148250971682-0.485841199333704i</v>
      </c>
      <c r="F71" s="73" t="str">
        <f t="shared" si="32"/>
        <v>-0.0000730667671646598-0.0000803463746198462i</v>
      </c>
      <c r="G71" s="73" t="str">
        <f t="shared" si="33"/>
        <v>-0.0587336163745856-0.0645852187955188i</v>
      </c>
      <c r="H71" s="76">
        <f t="shared" si="34"/>
        <v>8.7297698591097025E-2</v>
      </c>
      <c r="I71" s="54" t="str">
        <f t="shared" si="35"/>
        <v>0.0826446280991735-0.00187904301171069i</v>
      </c>
      <c r="J71" s="78" t="str">
        <f t="shared" si="36"/>
        <v>0.0588681036812617-0.235377675343763i</v>
      </c>
      <c r="K71" s="78" t="str">
        <f t="shared" si="37"/>
        <v>0.00442284775967405-0.0195633161404682i</v>
      </c>
      <c r="L71" s="78" t="str">
        <f t="shared" si="38"/>
        <v>-0.00152327089689793+0.000863373714951179i</v>
      </c>
      <c r="M71" s="73">
        <f t="shared" si="39"/>
        <v>-55.134606569513103</v>
      </c>
      <c r="N71" s="73">
        <f t="shared" si="40"/>
        <v>330.45589750662089</v>
      </c>
      <c r="O71" s="73">
        <f t="shared" si="28"/>
        <v>-29.544102493379114</v>
      </c>
    </row>
    <row r="72" spans="1:15" ht="15">
      <c r="A72" s="74">
        <f t="shared" si="41"/>
        <v>71</v>
      </c>
      <c r="B72" s="73">
        <f t="shared" si="42"/>
        <v>71000</v>
      </c>
      <c r="C72" s="73">
        <f t="shared" si="29"/>
        <v>803.83488491048581</v>
      </c>
      <c r="D72" s="54" t="str">
        <f t="shared" si="30"/>
        <v>0.000182629003235148-0.0000248065747565381i</v>
      </c>
      <c r="E72" s="54" t="str">
        <f t="shared" si="31"/>
        <v>-0.333303933678997-0.465654846344132i</v>
      </c>
      <c r="F72" s="73" t="str">
        <f t="shared" si="32"/>
        <v>-0.0000724222669387291-0.0000767739514919886i</v>
      </c>
      <c r="G72" s="73" t="str">
        <f t="shared" si="33"/>
        <v>-0.0582155446096498-0.0617135804616859i</v>
      </c>
      <c r="H72" s="76">
        <f t="shared" si="34"/>
        <v>8.4838762647737292E-2</v>
      </c>
      <c r="I72" s="54" t="str">
        <f t="shared" si="35"/>
        <v>0.0826446280991737-0.00185257761717955i</v>
      </c>
      <c r="J72" s="78" t="str">
        <f t="shared" si="36"/>
        <v>0.0573159002353916-0.23244523616456i</v>
      </c>
      <c r="K72" s="78" t="str">
        <f t="shared" si="37"/>
        <v>0.0043062284173848-0.0193165322501292i</v>
      </c>
      <c r="L72" s="78" t="str">
        <f t="shared" si="38"/>
        <v>-0.00144278179979071+0.00085876967098846i</v>
      </c>
      <c r="M72" s="73">
        <f t="shared" si="39"/>
        <v>-55.49888799051007</v>
      </c>
      <c r="N72" s="73">
        <f t="shared" si="40"/>
        <v>329.2381314002472</v>
      </c>
      <c r="O72" s="73">
        <f t="shared" si="28"/>
        <v>-30.761868599752802</v>
      </c>
    </row>
    <row r="73" spans="1:15" ht="15">
      <c r="A73" s="74">
        <f t="shared" si="41"/>
        <v>72</v>
      </c>
      <c r="B73" s="73">
        <f t="shared" si="42"/>
        <v>72000</v>
      </c>
      <c r="C73" s="73">
        <f t="shared" si="29"/>
        <v>803.83488491048581</v>
      </c>
      <c r="D73" s="54" t="str">
        <f t="shared" si="30"/>
        <v>0.000182628986257249-0.0000244620389964461i</v>
      </c>
      <c r="E73" s="54" t="str">
        <f t="shared" si="31"/>
        <v>-0.3327736520237-0.446343199435663i</v>
      </c>
      <c r="F73" s="73" t="str">
        <f t="shared" si="32"/>
        <v>-0.0000716925794726046-0.0000733748839829587i</v>
      </c>
      <c r="G73" s="73" t="str">
        <f t="shared" si="33"/>
        <v>-0.057628996369297-0.0589812914217619i</v>
      </c>
      <c r="H73" s="76">
        <f t="shared" si="34"/>
        <v>8.246146954979186E-2</v>
      </c>
      <c r="I73" s="54" t="str">
        <f t="shared" si="35"/>
        <v>0.0826446280991734-0.0018268473724965i</v>
      </c>
      <c r="J73" s="78" t="str">
        <f t="shared" si="36"/>
        <v>0.055823107440885-0.229579807728224i</v>
      </c>
      <c r="K73" s="78" t="str">
        <f t="shared" si="37"/>
        <v>0.00419407268526558-0.0190755181259318i</v>
      </c>
      <c r="L73" s="78" t="str">
        <f t="shared" si="38"/>
        <v>-0.00136679889315842+0.000851931141528082i</v>
      </c>
      <c r="M73" s="73">
        <f t="shared" si="39"/>
        <v>-55.860424370890691</v>
      </c>
      <c r="N73" s="73">
        <f t="shared" si="40"/>
        <v>328.064550024695</v>
      </c>
      <c r="O73" s="73">
        <f t="shared" si="28"/>
        <v>-31.935449975305005</v>
      </c>
    </row>
    <row r="74" spans="1:15" ht="15">
      <c r="A74" s="74">
        <f t="shared" si="41"/>
        <v>73</v>
      </c>
      <c r="B74" s="73">
        <f t="shared" si="42"/>
        <v>73000</v>
      </c>
      <c r="C74" s="73">
        <f t="shared" si="29"/>
        <v>803.83488491048581</v>
      </c>
      <c r="D74" s="54" t="str">
        <f t="shared" si="30"/>
        <v>0.00018262896997228-0.0000241269425722302i</v>
      </c>
      <c r="E74" s="54" t="str">
        <f t="shared" si="31"/>
        <v>-0.331641465588464-0.427886655849379i</v>
      </c>
      <c r="F74" s="73" t="str">
        <f t="shared" si="32"/>
        <v>-0.0000708909360336201-0.0000701430046278324i</v>
      </c>
      <c r="G74" s="73" t="str">
        <f t="shared" si="33"/>
        <v>-0.0569846074077816-0.0563833940522893i</v>
      </c>
      <c r="H74" s="76">
        <f t="shared" si="34"/>
        <v>8.016440984797886E-2</v>
      </c>
      <c r="I74" s="54" t="str">
        <f t="shared" si="35"/>
        <v>0.0826446280991736-0.00180182206602395i</v>
      </c>
      <c r="J74" s="78" t="str">
        <f t="shared" si="36"/>
        <v>0.0543867920313591-0.226779339631936i</v>
      </c>
      <c r="K74" s="78" t="str">
        <f t="shared" si="37"/>
        <v>0.00408616018267161-0.0188400895064399i</v>
      </c>
      <c r="L74" s="78" t="str">
        <f t="shared" si="38"/>
        <v>-0.00129511642443685+0.000843203524311596i</v>
      </c>
      <c r="M74" s="73">
        <f t="shared" si="39"/>
        <v>-56.219077143263505</v>
      </c>
      <c r="N74" s="73">
        <f t="shared" si="40"/>
        <v>326.93330207309083</v>
      </c>
      <c r="O74" s="73">
        <f t="shared" si="28"/>
        <v>-33.066697926909171</v>
      </c>
    </row>
    <row r="75" spans="1:15" ht="15">
      <c r="A75" s="74">
        <f t="shared" si="41"/>
        <v>74</v>
      </c>
      <c r="B75" s="73">
        <f t="shared" si="42"/>
        <v>74000</v>
      </c>
      <c r="C75" s="73">
        <f t="shared" si="29"/>
        <v>803.83488491048581</v>
      </c>
      <c r="D75" s="54" t="str">
        <f t="shared" si="30"/>
        <v>0.000182628954343042-0.0000238009028081126i</v>
      </c>
      <c r="E75" s="54" t="str">
        <f t="shared" si="31"/>
        <v>-0.329983585977756-0.410261850846i</v>
      </c>
      <c r="F75" s="73" t="str">
        <f t="shared" si="32"/>
        <v>-0.0000700291596953469-0.000067071785568717i</v>
      </c>
      <c r="G75" s="73" t="str">
        <f t="shared" si="33"/>
        <v>-0.0562918815240872-0.0539146410333704i</v>
      </c>
      <c r="H75" s="76">
        <f t="shared" si="34"/>
        <v>7.7945907161819969E-2</v>
      </c>
      <c r="I75" s="54" t="str">
        <f t="shared" si="35"/>
        <v>0.0826446280991735-0.00177747311918579i</v>
      </c>
      <c r="J75" s="78" t="str">
        <f t="shared" si="36"/>
        <v>0.0530041957224318-0.224041850907927i</v>
      </c>
      <c r="K75" s="78" t="str">
        <f t="shared" si="37"/>
        <v>0.00398228367561471-0.0186100689800368i</v>
      </c>
      <c r="L75" s="78" t="str">
        <f t="shared" si="38"/>
        <v>-0.00122752542952796+0.000832892403315504i</v>
      </c>
      <c r="M75" s="73">
        <f t="shared" si="39"/>
        <v>-56.57473015030557</v>
      </c>
      <c r="N75" s="73">
        <f t="shared" si="40"/>
        <v>325.84258363548366</v>
      </c>
      <c r="O75" s="73">
        <f t="shared" si="28"/>
        <v>-34.157416364516337</v>
      </c>
    </row>
    <row r="76" spans="1:15" ht="15">
      <c r="A76" s="74">
        <f t="shared" si="41"/>
        <v>75</v>
      </c>
      <c r="B76" s="73">
        <f t="shared" si="42"/>
        <v>75000</v>
      </c>
      <c r="C76" s="73">
        <f t="shared" si="29"/>
        <v>803.83488491048581</v>
      </c>
      <c r="D76" s="54" t="str">
        <f t="shared" si="30"/>
        <v>0.000182628939334797-0.0000234835574376903i</v>
      </c>
      <c r="E76" s="54" t="str">
        <f t="shared" si="31"/>
        <v>-0.327868852459016-0.39344262295082i</v>
      </c>
      <c r="F76" s="73" t="str">
        <f t="shared" si="32"/>
        <v>-0.0000691177732000082-0.0000641544818898578i</v>
      </c>
      <c r="G76" s="73" t="str">
        <f t="shared" si="33"/>
        <v>-0.0555592772654977-0.0515696105664257i</v>
      </c>
      <c r="H76" s="76">
        <f t="shared" si="34"/>
        <v>7.5804076567406675E-2</v>
      </c>
      <c r="I76" s="54" t="str">
        <f t="shared" si="35"/>
        <v>0.0826446280991735-0.00175377347759664i</v>
      </c>
      <c r="J76" s="78" t="str">
        <f t="shared" si="36"/>
        <v>0.0516727231243386-0.221365428216002i</v>
      </c>
      <c r="K76" s="78" t="str">
        <f t="shared" si="37"/>
        <v>0.00388224816862048-0.0183852857402564i</v>
      </c>
      <c r="L76" s="78" t="str">
        <f t="shared" si="38"/>
        <v>-0.00116381692819134+0.000821267161870329i</v>
      </c>
      <c r="M76" s="73">
        <f t="shared" si="39"/>
        <v>-56.927287422874201</v>
      </c>
      <c r="N76" s="73">
        <f t="shared" si="40"/>
        <v>324.79064450439972</v>
      </c>
      <c r="O76" s="73">
        <f t="shared" si="28"/>
        <v>-35.209355495600278</v>
      </c>
    </row>
    <row r="77" spans="1:15" ht="15">
      <c r="A77" s="74">
        <f t="shared" si="41"/>
        <v>76</v>
      </c>
      <c r="B77" s="73">
        <f t="shared" si="42"/>
        <v>76000</v>
      </c>
      <c r="C77" s="73">
        <f t="shared" si="29"/>
        <v>803.83488491048581</v>
      </c>
      <c r="D77" s="54" t="str">
        <f t="shared" si="30"/>
        <v>0.000182628924915076-0.0000231745632612128i</v>
      </c>
      <c r="E77" s="54" t="str">
        <f t="shared" si="31"/>
        <v>-0.325359237914116-0.377400825419304i</v>
      </c>
      <c r="F77" s="73" t="str">
        <f t="shared" si="32"/>
        <v>-0.000068166107134957-0.0000613842487667291i</v>
      </c>
      <c r="G77" s="73" t="str">
        <f t="shared" si="33"/>
        <v>-0.054794294883624-0.0493428005427203i</v>
      </c>
      <c r="H77" s="76">
        <f t="shared" si="34"/>
        <v>7.3736874880837078E-2</v>
      </c>
      <c r="I77" s="54" t="str">
        <f t="shared" si="35"/>
        <v>0.0826446280991736-0.00173069751078616i</v>
      </c>
      <c r="J77" s="78" t="str">
        <f t="shared" si="36"/>
        <v>0.0503899305919489-0.218748223962819i</v>
      </c>
      <c r="K77" s="78" t="str">
        <f t="shared" si="37"/>
        <v>0.00378587006701344-0.0181655753442061i</v>
      </c>
      <c r="L77" s="78" t="str">
        <f t="shared" si="38"/>
        <v>-0.00110378444179594+0.000808564460543819i</v>
      </c>
      <c r="M77" s="73">
        <f t="shared" si="39"/>
        <v>-57.276671102859645</v>
      </c>
      <c r="N77" s="73">
        <f t="shared" si="40"/>
        <v>323.77579272618038</v>
      </c>
      <c r="O77" s="73">
        <f t="shared" si="28"/>
        <v>-36.224207273819616</v>
      </c>
    </row>
    <row r="78" spans="1:15" ht="15">
      <c r="A78" s="74">
        <f t="shared" si="41"/>
        <v>77</v>
      </c>
      <c r="B78" s="73">
        <f t="shared" si="42"/>
        <v>77000</v>
      </c>
      <c r="C78" s="73">
        <f t="shared" si="29"/>
        <v>803.83488491048581</v>
      </c>
      <c r="D78" s="54" t="str">
        <f t="shared" si="30"/>
        <v>0.000182628911053506-0.0000228735949074882i</v>
      </c>
      <c r="E78" s="54" t="str">
        <f t="shared" si="31"/>
        <v>-0.322510365759674-0.362107001509111i</v>
      </c>
      <c r="F78" s="73" t="str">
        <f t="shared" si="32"/>
        <v>-0.0000671824057678418-0.0000587542359106066i</v>
      </c>
      <c r="G78" s="73" t="str">
        <f t="shared" si="33"/>
        <v>-0.0540035614084027-0.047228704461206i</v>
      </c>
      <c r="H78" s="76">
        <f t="shared" si="34"/>
        <v>7.1742143610816808E-2</v>
      </c>
      <c r="I78" s="54" t="str">
        <f t="shared" si="35"/>
        <v>0.0826446280991735-0.00170822091973699i</v>
      </c>
      <c r="J78" s="78" t="str">
        <f t="shared" si="36"/>
        <v>0.0491535159325846-0.216188454372683i</v>
      </c>
      <c r="K78" s="78" t="str">
        <f t="shared" si="37"/>
        <v>0.00369297640365023-0.0179507794751602i</v>
      </c>
      <c r="L78" s="78" t="str">
        <f t="shared" si="38"/>
        <v>-0.00104722593667493+0.000794991530565304i</v>
      </c>
      <c r="M78" s="73">
        <f t="shared" si="39"/>
        <v>-57.622819517067335</v>
      </c>
      <c r="N78" s="73">
        <f t="shared" si="40"/>
        <v>322.79639768586003</v>
      </c>
      <c r="O78" s="73">
        <f t="shared" si="28"/>
        <v>-37.203602314139971</v>
      </c>
    </row>
    <row r="79" spans="1:15" ht="15">
      <c r="A79" s="74">
        <f t="shared" si="41"/>
        <v>78</v>
      </c>
      <c r="B79" s="73">
        <f t="shared" si="42"/>
        <v>78000</v>
      </c>
      <c r="C79" s="73">
        <f t="shared" si="29"/>
        <v>803.83488491048581</v>
      </c>
      <c r="D79" s="54" t="str">
        <f t="shared" si="30"/>
        <v>0.000182628897721648-0.0000225803436910266i</v>
      </c>
      <c r="E79" s="54" t="str">
        <f t="shared" si="31"/>
        <v>-0.319372023352939-0.34753094059053i</v>
      </c>
      <c r="F79" s="73" t="str">
        <f t="shared" si="32"/>
        <v>-0.0000661739286698796-0.0000562576625516081i</v>
      </c>
      <c r="G79" s="73" t="str">
        <f t="shared" si="33"/>
        <v>-0.0531929123364274-0.0452218717025048i</v>
      </c>
      <c r="H79" s="76">
        <f t="shared" si="34"/>
        <v>6.9817645356375732E-2</v>
      </c>
      <c r="I79" s="54" t="str">
        <f t="shared" si="35"/>
        <v>0.0826446280991737-0.00168632065153523i</v>
      </c>
      <c r="J79" s="78" t="str">
        <f t="shared" si="36"/>
        <v>0.0479613088992881-0.213684397530459i</v>
      </c>
      <c r="K79" s="78" t="str">
        <f t="shared" si="37"/>
        <v>0.00360340412466478-0.0177407457101723i</v>
      </c>
      <c r="L79" s="78" t="str">
        <f t="shared" si="38"/>
        <v>-0.000993945286128189+0.000780729252326178i</v>
      </c>
      <c r="M79" s="73">
        <f t="shared" si="39"/>
        <v>-57.965685403334426</v>
      </c>
      <c r="N79" s="73">
        <f t="shared" si="40"/>
        <v>321.85089197883235</v>
      </c>
      <c r="O79" s="73">
        <f t="shared" si="28"/>
        <v>-38.149108021167649</v>
      </c>
    </row>
    <row r="80" spans="1:15" ht="15">
      <c r="A80" s="74">
        <f t="shared" si="41"/>
        <v>79</v>
      </c>
      <c r="B80" s="73">
        <f t="shared" si="42"/>
        <v>79000</v>
      </c>
      <c r="C80" s="73">
        <f t="shared" si="29"/>
        <v>803.83488491048581</v>
      </c>
      <c r="D80" s="54" t="str">
        <f t="shared" si="30"/>
        <v>0.000182628884892853-0.0000222945165559832i</v>
      </c>
      <c r="E80" s="54" t="str">
        <f t="shared" si="31"/>
        <v>-0.315988661370671-0.333642131091727i</v>
      </c>
      <c r="F80" s="73" t="str">
        <f t="shared" si="32"/>
        <v>-0.000065147046880309-0.0000538878759121258i</v>
      </c>
      <c r="G80" s="73" t="str">
        <f t="shared" si="33"/>
        <v>-0.0523674689312912-0.0433169545318942i</v>
      </c>
      <c r="H80" s="76">
        <f t="shared" si="34"/>
        <v>6.7961094401046376E-2</v>
      </c>
      <c r="I80" s="54" t="str">
        <f t="shared" si="35"/>
        <v>0.0826446280991735-0.00166497482050314i</v>
      </c>
      <c r="J80" s="78" t="str">
        <f t="shared" si="36"/>
        <v>0.0468112624037171-0.211234391413632i</v>
      </c>
      <c r="K80" s="78" t="str">
        <f t="shared" si="37"/>
        <v>0.00351699942928002-0.017535327293353i</v>
      </c>
      <c r="L80" s="78" t="str">
        <f t="shared" si="38"/>
        <v>-0.000943753333412246+0.000765935002867865i</v>
      </c>
      <c r="M80" s="73">
        <f t="shared" si="39"/>
        <v>-58.305234286336628</v>
      </c>
      <c r="N80" s="73">
        <f t="shared" si="40"/>
        <v>320.93777228967906</v>
      </c>
      <c r="O80" s="73">
        <f t="shared" si="28"/>
        <v>-39.06222771032094</v>
      </c>
    </row>
    <row r="81" spans="1:18" ht="15">
      <c r="A81" s="74">
        <f t="shared" si="41"/>
        <v>80</v>
      </c>
      <c r="B81" s="73">
        <f t="shared" si="42"/>
        <v>80000</v>
      </c>
      <c r="C81" s="73">
        <f t="shared" si="29"/>
        <v>803.83488491048581</v>
      </c>
      <c r="D81" s="54" t="str">
        <f t="shared" si="30"/>
        <v>0.000182628872542124-0.0000220158350993055i</v>
      </c>
      <c r="E81" s="54" t="str">
        <f t="shared" si="31"/>
        <v>-0.31239987183595-0.320410124959949i</v>
      </c>
      <c r="F81" s="73" t="str">
        <f t="shared" si="32"/>
        <v>-0.0000641073328509697-0.0000516383958091321i</v>
      </c>
      <c r="G81" s="73" t="str">
        <f t="shared" si="33"/>
        <v>-0.0515317105241774-0.0415087439521958i</v>
      </c>
      <c r="H81" s="76">
        <f t="shared" si="34"/>
        <v>6.6170182212508435E-2</v>
      </c>
      <c r="I81" s="54" t="str">
        <f t="shared" si="35"/>
        <v>0.0826446280991736-0.00164416263524685i</v>
      </c>
      <c r="J81" s="78" t="str">
        <f t="shared" si="36"/>
        <v>0.0457014443887772-0.2088368319276i</v>
      </c>
      <c r="K81" s="78" t="str">
        <f t="shared" si="37"/>
        <v>0.00343361715918687-0.017334382915307i</v>
      </c>
      <c r="L81" s="78" t="str">
        <f t="shared" si="38"/>
        <v>-0.000896468627498862+0.000750745267016293i</v>
      </c>
      <c r="M81" s="73">
        <f t="shared" si="39"/>
        <v>-58.641442997858668</v>
      </c>
      <c r="N81" s="73">
        <f t="shared" si="40"/>
        <v>320.05559946801742</v>
      </c>
      <c r="O81" s="73">
        <f t="shared" si="28"/>
        <v>-39.944400531982581</v>
      </c>
    </row>
    <row r="82" spans="1:18" ht="15">
      <c r="A82" s="74">
        <f t="shared" si="41"/>
        <v>81</v>
      </c>
      <c r="B82" s="73">
        <f t="shared" si="42"/>
        <v>81000</v>
      </c>
      <c r="C82" s="73">
        <f t="shared" si="29"/>
        <v>803.83488491048581</v>
      </c>
      <c r="D82" s="54" t="str">
        <f t="shared" si="30"/>
        <v>0.000182628860646-0.0000217440346662394i</v>
      </c>
      <c r="E82" s="54" t="str">
        <f t="shared" si="31"/>
        <v>-0.308640839982196-0.307804826872173i</v>
      </c>
      <c r="F82" s="73" t="str">
        <f t="shared" si="32"/>
        <v>-0.0000630596437807172-0.0000495029477090141i</v>
      </c>
      <c r="G82" s="73" t="str">
        <f t="shared" si="33"/>
        <v>-0.050689541500969-0.0397921962744051i</v>
      </c>
      <c r="H82" s="76">
        <f t="shared" si="34"/>
        <v>6.4442598503778842E-2</v>
      </c>
      <c r="I82" s="54" t="str">
        <f t="shared" si="35"/>
        <v>0.0826446280991737-0.001623864331108i</v>
      </c>
      <c r="J82" s="78" t="str">
        <f t="shared" si="36"/>
        <v>0.0446300303064658-0.206490170955689i</v>
      </c>
      <c r="K82" s="78" t="str">
        <f t="shared" si="37"/>
        <v>0.00335312023339338-0.0171377764990787i</v>
      </c>
      <c r="L82" s="78" t="str">
        <f t="shared" si="38"/>
        <v>-0.000851917893386559+0.000735278014625513i</v>
      </c>
      <c r="M82" s="73">
        <f t="shared" si="39"/>
        <v>-58.974298334483663</v>
      </c>
      <c r="N82" s="73">
        <f t="shared" si="40"/>
        <v>319.20299796349013</v>
      </c>
      <c r="O82" s="73">
        <f t="shared" si="28"/>
        <v>-40.797002036509866</v>
      </c>
    </row>
    <row r="83" spans="1:18" ht="15">
      <c r="A83" s="74">
        <f t="shared" si="41"/>
        <v>82</v>
      </c>
      <c r="B83" s="73">
        <f t="shared" si="42"/>
        <v>82000</v>
      </c>
      <c r="C83" s="73">
        <f t="shared" si="29"/>
        <v>803.83488491048581</v>
      </c>
      <c r="D83" s="54" t="str">
        <f t="shared" si="30"/>
        <v>0.00018262884918244-0.0000214788635120193i</v>
      </c>
      <c r="E83" s="54" t="str">
        <f t="shared" si="31"/>
        <v>-0.304742767092029-0.295796719952017i</v>
      </c>
      <c r="F83" s="73" t="str">
        <f t="shared" si="32"/>
        <v>-0.000062008198225842-0.0000474754862561326i</v>
      </c>
      <c r="G83" s="73" t="str">
        <f t="shared" si="33"/>
        <v>-0.0498443528843763-0.0381624520307677i</v>
      </c>
      <c r="H83" s="76">
        <f t="shared" si="34"/>
        <v>6.2776048453712652E-2</v>
      </c>
      <c r="I83" s="54" t="str">
        <f t="shared" si="35"/>
        <v>0.0826446280991735-0.0016040611075579i</v>
      </c>
      <c r="J83" s="78" t="str">
        <f t="shared" si="36"/>
        <v>0.0435952961512551-0.204192914433237i</v>
      </c>
      <c r="K83" s="78" t="str">
        <f t="shared" si="37"/>
        <v>0.00327537912481255-0.0169453769928499i</v>
      </c>
      <c r="L83" s="78" t="str">
        <f t="shared" si="38"/>
        <v>-0.000809936289560185+0.000719634851857165i</v>
      </c>
      <c r="M83" s="73">
        <f t="shared" si="39"/>
        <v>-59.303795844502545</v>
      </c>
      <c r="N83" s="73">
        <f t="shared" si="40"/>
        <v>318.37865475719673</v>
      </c>
      <c r="O83" s="73">
        <f t="shared" si="28"/>
        <v>-41.621345242803272</v>
      </c>
    </row>
    <row r="84" spans="1:18" ht="15">
      <c r="A84" s="74">
        <f t="shared" si="41"/>
        <v>83</v>
      </c>
      <c r="B84" s="73">
        <f t="shared" si="42"/>
        <v>83000</v>
      </c>
      <c r="C84" s="73">
        <f t="shared" si="29"/>
        <v>803.83488491048581</v>
      </c>
      <c r="D84" s="54" t="str">
        <f t="shared" si="30"/>
        <v>0.000182628838130725-0.0000212200820241573i</v>
      </c>
      <c r="E84" s="54" t="str">
        <f t="shared" si="31"/>
        <v>-0.300733262929728-0.284357038313596i</v>
      </c>
      <c r="F84" s="73" t="str">
        <f t="shared" si="32"/>
        <v>-0.000060956646073279-0.0000455502110147448i</v>
      </c>
      <c r="G84" s="73" t="str">
        <f t="shared" si="33"/>
        <v>-0.0489990785808434-0.0366148486286857i</v>
      </c>
      <c r="H84" s="76">
        <f t="shared" si="34"/>
        <v>6.1168266624723258E-2</v>
      </c>
      <c r="I84" s="54" t="str">
        <f t="shared" si="35"/>
        <v>0.0826446280991736-0.00158473507011745i</v>
      </c>
      <c r="J84" s="78" t="str">
        <f t="shared" si="36"/>
        <v>0.042595612003752-0.201943620453279i</v>
      </c>
      <c r="K84" s="78" t="str">
        <f t="shared" si="37"/>
        <v>0.00320027137518798-0.0167570581695374i</v>
      </c>
      <c r="L84" s="78" t="str">
        <f t="shared" si="38"/>
        <v>-0.000770367496932553+0.000703902958059703i</v>
      </c>
      <c r="M84" s="73">
        <f t="shared" si="39"/>
        <v>-59.62993873520724</v>
      </c>
      <c r="N84" s="73">
        <f t="shared" si="40"/>
        <v>317.5813179049581</v>
      </c>
      <c r="O84" s="73">
        <f t="shared" si="28"/>
        <v>-42.418682095041902</v>
      </c>
      <c r="P84" s="73">
        <v>-27.673999999999999</v>
      </c>
      <c r="Q84" s="73">
        <v>318.15300000000002</v>
      </c>
      <c r="R84" s="73">
        <f>B84</f>
        <v>83000</v>
      </c>
    </row>
    <row r="85" spans="1:18" ht="15">
      <c r="A85" s="74">
        <f t="shared" si="41"/>
        <v>84</v>
      </c>
      <c r="B85" s="73">
        <f t="shared" si="42"/>
        <v>84000</v>
      </c>
      <c r="C85" s="73">
        <f t="shared" si="29"/>
        <v>803.83488491048581</v>
      </c>
      <c r="D85" s="54" t="str">
        <f t="shared" si="30"/>
        <v>0.00018262882747136-0.0000209674620002837i</v>
      </c>
      <c r="E85" s="54" t="str">
        <f t="shared" si="31"/>
        <v>-0.296636707487767-0.273457895401365i</v>
      </c>
      <c r="F85" s="73" t="str">
        <f t="shared" si="32"/>
        <v>-0.0000599081321039614-0.0000437215759077981i</v>
      </c>
      <c r="G85" s="73" t="str">
        <f t="shared" si="33"/>
        <v>-0.04815624647499-0.03514492793795i</v>
      </c>
      <c r="H85" s="76">
        <f t="shared" si="34"/>
        <v>5.9617028056786633E-2</v>
      </c>
      <c r="I85" s="54" t="str">
        <f t="shared" si="35"/>
        <v>0.0826446280991735-0.00156586917642557i</v>
      </c>
      <c r="J85" s="78" t="str">
        <f t="shared" si="36"/>
        <v>0.0416294360433515-0.199740897409779i</v>
      </c>
      <c r="K85" s="78" t="str">
        <f t="shared" si="37"/>
        <v>0.00312768114525556-0.0165726984333586i</v>
      </c>
      <c r="L85" s="78" t="str">
        <f t="shared" si="38"/>
        <v>-0.000733063676303871+0.000688156822049606i</v>
      </c>
      <c r="M85" s="73">
        <f t="shared" si="39"/>
        <v>-59.952736891482971</v>
      </c>
      <c r="N85" s="73">
        <f t="shared" si="40"/>
        <v>316.80979478866732</v>
      </c>
      <c r="O85" s="73">
        <f t="shared" si="28"/>
        <v>-43.190205211332682</v>
      </c>
    </row>
    <row r="86" spans="1:18" ht="15">
      <c r="A86" s="74">
        <f t="shared" si="41"/>
        <v>85</v>
      </c>
      <c r="B86" s="73">
        <f t="shared" si="42"/>
        <v>85000</v>
      </c>
      <c r="C86" s="73">
        <f t="shared" si="29"/>
        <v>803.83488491048581</v>
      </c>
      <c r="D86" s="54" t="str">
        <f t="shared" si="30"/>
        <v>0.000182628817185991-0.0000207207859769641i</v>
      </c>
      <c r="E86" s="54" t="str">
        <f t="shared" si="31"/>
        <v>-0.292474582566039-0.263072375853051i</v>
      </c>
      <c r="F86" s="73" t="str">
        <f t="shared" si="32"/>
        <v>-0.0000588653534675047-0.0000419842936072984i</v>
      </c>
      <c r="G86" s="73" t="str">
        <f t="shared" si="33"/>
        <v>-0.0473180246297667-0.0337484398198708i</v>
      </c>
      <c r="H86" s="76">
        <f t="shared" si="34"/>
        <v>5.8120156960719302E-2</v>
      </c>
      <c r="I86" s="54" t="str">
        <f t="shared" si="35"/>
        <v>0.0826446280991736-0.00154744718611469i</v>
      </c>
      <c r="J86" s="78" t="str">
        <f t="shared" si="36"/>
        <v>0.0406953089922254-0.19758340218311i</v>
      </c>
      <c r="K86" s="78" t="str">
        <f t="shared" si="37"/>
        <v>0.0030574987973122-0.0163921806333807i</v>
      </c>
      <c r="L86" s="78" t="str">
        <f t="shared" si="38"/>
        <v>-0.000697885325018801+0.000672459792785475i</v>
      </c>
      <c r="M86" s="73">
        <f t="shared" si="39"/>
        <v>-60.272205996644566</v>
      </c>
      <c r="N86" s="73">
        <f t="shared" si="40"/>
        <v>316.06295015542105</v>
      </c>
      <c r="O86" s="73">
        <f t="shared" si="28"/>
        <v>-43.937049844578951</v>
      </c>
    </row>
    <row r="87" spans="1:18" ht="15">
      <c r="A87" s="74">
        <f t="shared" si="41"/>
        <v>86</v>
      </c>
      <c r="B87" s="73">
        <f t="shared" si="42"/>
        <v>86000</v>
      </c>
      <c r="C87" s="73">
        <f t="shared" si="29"/>
        <v>803.83488491048581</v>
      </c>
      <c r="D87" s="54" t="str">
        <f t="shared" si="30"/>
        <v>0.000182628807257323-0.0000204798466053423i</v>
      </c>
      <c r="E87" s="54" t="str">
        <f t="shared" si="31"/>
        <v>-0.288265774261145-0.253174597492427i</v>
      </c>
      <c r="F87" s="73" t="str">
        <f t="shared" si="32"/>
        <v>-0.0000578306114474358-0.0000403333359294563i</v>
      </c>
      <c r="G87" s="73" t="str">
        <f t="shared" si="33"/>
        <v>-0.0464862628971526-0.0324213424449105i</v>
      </c>
      <c r="H87" s="76">
        <f t="shared" si="34"/>
        <v>5.6675533381463132E-2</v>
      </c>
      <c r="I87" s="54" t="str">
        <f t="shared" si="35"/>
        <v>0.0826446280991735-0.00152945361418312i</v>
      </c>
      <c r="J87" s="78" t="str">
        <f t="shared" si="36"/>
        <v>0.0397918489562583-0.195469838371296i</v>
      </c>
      <c r="K87" s="78" t="str">
        <f t="shared" si="37"/>
        <v>0.00298962050760768-0.0162153918840025i</v>
      </c>
      <c r="L87" s="78" t="str">
        <f t="shared" si="38"/>
        <v>-0.000664701058029037+0.000656865459842619i</v>
      </c>
      <c r="M87" s="73">
        <f t="shared" si="39"/>
        <v>-60.588366746706761</v>
      </c>
      <c r="N87" s="73">
        <f t="shared" si="40"/>
        <v>315.33970400992104</v>
      </c>
      <c r="O87" s="73">
        <f t="shared" si="28"/>
        <v>-44.660295990078964</v>
      </c>
    </row>
    <row r="88" spans="1:18" ht="15">
      <c r="A88" s="74">
        <f t="shared" si="41"/>
        <v>87</v>
      </c>
      <c r="B88" s="73">
        <f t="shared" si="42"/>
        <v>87000</v>
      </c>
      <c r="C88" s="73">
        <f t="shared" si="29"/>
        <v>803.83488491048581</v>
      </c>
      <c r="D88" s="54" t="str">
        <f t="shared" si="30"/>
        <v>0.000182628797669051-0.0000202444460698429i</v>
      </c>
      <c r="E88" s="54" t="str">
        <f t="shared" si="31"/>
        <v>-0.284026847815692-0.243739749062588i</v>
      </c>
      <c r="F88" s="73" t="str">
        <f t="shared" si="32"/>
        <v>-0.000056805857927285-0.0000387639311124644i</v>
      </c>
      <c r="G88" s="73" t="str">
        <f t="shared" si="33"/>
        <v>-0.0456625302692205-0.0311598001044658i</v>
      </c>
      <c r="H88" s="76">
        <f t="shared" si="34"/>
        <v>5.5281098154231212E-2</v>
      </c>
      <c r="I88" s="54" t="str">
        <f t="shared" si="35"/>
        <v>0.0826446280991736-0.00151187368758331i</v>
      </c>
      <c r="J88" s="78" t="str">
        <f t="shared" si="36"/>
        <v>0.0389177466315286-0.1933989545697i</v>
      </c>
      <c r="K88" s="78" t="str">
        <f t="shared" si="37"/>
        <v>0.0029239479062005-0.0160422233922941i</v>
      </c>
      <c r="L88" s="78" t="str">
        <f t="shared" si="38"/>
        <v>-0.000633387333907574+0.000641418878963148i</v>
      </c>
      <c r="M88" s="73">
        <f t="shared" si="39"/>
        <v>-60.901244149646871</v>
      </c>
      <c r="N88" s="73">
        <f t="shared" si="40"/>
        <v>314.63902941352791</v>
      </c>
      <c r="O88" s="73">
        <f t="shared" si="28"/>
        <v>-45.360970586472092</v>
      </c>
    </row>
    <row r="89" spans="1:18" ht="15">
      <c r="A89" s="74">
        <f t="shared" si="41"/>
        <v>88</v>
      </c>
      <c r="B89" s="73">
        <f t="shared" si="42"/>
        <v>88000</v>
      </c>
      <c r="C89" s="73">
        <f t="shared" si="29"/>
        <v>803.83488491048581</v>
      </c>
      <c r="D89" s="54" t="str">
        <f t="shared" si="30"/>
        <v>0.000182628788405792-0.0000200143955465073i</v>
      </c>
      <c r="E89" s="54" t="str">
        <f t="shared" si="31"/>
        <v>-0.279772296507588-0.234744108435047i</v>
      </c>
      <c r="F89" s="73" t="str">
        <f t="shared" si="32"/>
        <v>-0.000055792736979118-0.0000372715587036329i</v>
      </c>
      <c r="G89" s="73" t="str">
        <f t="shared" si="33"/>
        <v>-0.0448481483084503-0.0299601791009692i</v>
      </c>
      <c r="H89" s="76">
        <f t="shared" si="34"/>
        <v>5.3934856433098109E-2</v>
      </c>
      <c r="I89" s="54" t="str">
        <f t="shared" si="35"/>
        <v>0.0826446280991737-0.00149469330476987i</v>
      </c>
      <c r="J89" s="78" t="str">
        <f t="shared" si="36"/>
        <v>0.0380717608476206-0.19136954270098i</v>
      </c>
      <c r="K89" s="78" t="str">
        <f t="shared" si="37"/>
        <v>0.00286038774212026-0.0158725702920712i</v>
      </c>
      <c r="L89" s="78" t="str">
        <f t="shared" si="38"/>
        <v>-0.000603828142421459+0.000626157657442971i</v>
      </c>
      <c r="M89" s="73">
        <f t="shared" si="39"/>
        <v>-61.210866901694374</v>
      </c>
      <c r="N89" s="73">
        <f t="shared" si="40"/>
        <v>313.95995023310053</v>
      </c>
      <c r="O89" s="73">
        <f t="shared" si="28"/>
        <v>-46.040049766899472</v>
      </c>
    </row>
    <row r="90" spans="1:18" ht="15">
      <c r="A90" s="74">
        <f t="shared" si="41"/>
        <v>89</v>
      </c>
      <c r="B90" s="73">
        <f t="shared" si="42"/>
        <v>89000</v>
      </c>
      <c r="C90" s="73">
        <f t="shared" si="29"/>
        <v>803.83488491048581</v>
      </c>
      <c r="D90" s="54" t="str">
        <f t="shared" si="30"/>
        <v>0.00018262877945302-0.0000197895146978474i</v>
      </c>
      <c r="E90" s="54" t="str">
        <f t="shared" si="31"/>
        <v>-0.275514766381876-0.226165045268281i</v>
      </c>
      <c r="F90" s="73" t="str">
        <f t="shared" si="32"/>
        <v>-0.0000547926219930819-0.000035851942653495i</v>
      </c>
      <c r="G90" s="73" t="str">
        <f t="shared" si="33"/>
        <v>-0.0440442209937527-0.0288190421966895i</v>
      </c>
      <c r="H90" s="76">
        <f t="shared" si="34"/>
        <v>5.2634880032931541E-2</v>
      </c>
      <c r="I90" s="54" t="str">
        <f t="shared" si="35"/>
        <v>0.0826446280991735-0.0014778989979747i</v>
      </c>
      <c r="J90" s="78" t="str">
        <f t="shared" si="36"/>
        <v>0.03725271442152-0.189380436396553i</v>
      </c>
      <c r="K90" s="78" t="str">
        <f t="shared" si="37"/>
        <v>0.00279885157186476-0.0157063314845677i</v>
      </c>
      <c r="L90" s="78" t="str">
        <f t="shared" si="38"/>
        <v>-0.000575914666968873+0.000611112913355594i</v>
      </c>
      <c r="M90" s="73">
        <f t="shared" si="39"/>
        <v>-61.517266833194441</v>
      </c>
      <c r="N90" s="73">
        <f t="shared" si="40"/>
        <v>313.30153887413155</v>
      </c>
      <c r="O90" s="73">
        <f t="shared" si="28"/>
        <v>-46.698461125868448</v>
      </c>
    </row>
    <row r="91" spans="1:18" ht="15">
      <c r="A91" s="74">
        <f t="shared" si="41"/>
        <v>90</v>
      </c>
      <c r="B91" s="73">
        <f t="shared" si="42"/>
        <v>90000</v>
      </c>
      <c r="C91" s="73">
        <f t="shared" si="29"/>
        <v>803.83488491048581</v>
      </c>
      <c r="D91" s="54" t="str">
        <f t="shared" si="30"/>
        <v>0.000182628770797013-0.0000195696312013741i</v>
      </c>
      <c r="E91" s="54" t="str">
        <f t="shared" si="31"/>
        <v>-0.2712652586708-0.217981011431893i</v>
      </c>
      <c r="F91" s="73" t="str">
        <f t="shared" si="32"/>
        <v>-0.0000538066487536066-0.0000345010431049634i</v>
      </c>
      <c r="G91" s="73" t="str">
        <f t="shared" si="33"/>
        <v>-0.0432516613082743-0.02773314201357i</v>
      </c>
      <c r="H91" s="76">
        <f t="shared" si="34"/>
        <v>5.1379308791287902E-2</v>
      </c>
      <c r="I91" s="54" t="str">
        <f t="shared" si="35"/>
        <v>0.0826446280991736-0.0014614778979972i</v>
      </c>
      <c r="J91" s="78" t="str">
        <f t="shared" si="36"/>
        <v>0.0364594902980598-0.187430509430203i</v>
      </c>
      <c r="K91" s="78" t="str">
        <f t="shared" si="37"/>
        <v>0.00273925546942598-0.0155434094855406i</v>
      </c>
      <c r="L91" s="78" t="str">
        <f t="shared" si="38"/>
        <v>-0.000549544932438019+0.000596310121699381i</v>
      </c>
      <c r="M91" s="73">
        <f t="shared" si="39"/>
        <v>-61.820478417142823</v>
      </c>
      <c r="N91" s="73">
        <f t="shared" si="40"/>
        <v>312.66291402547745</v>
      </c>
      <c r="O91" s="73">
        <f t="shared" si="28"/>
        <v>-47.337085974522552</v>
      </c>
    </row>
    <row r="92" spans="1:18" ht="15">
      <c r="A92" s="74">
        <f t="shared" si="41"/>
        <v>91</v>
      </c>
      <c r="B92" s="73">
        <f t="shared" si="42"/>
        <v>91000</v>
      </c>
      <c r="C92" s="73">
        <f t="shared" si="29"/>
        <v>803.83488491048581</v>
      </c>
      <c r="D92" s="54" t="str">
        <f t="shared" si="30"/>
        <v>0.000182628762424797-0.0000193545803092134i</v>
      </c>
      <c r="E92" s="54" t="str">
        <f t="shared" si="31"/>
        <v>-0.267033311733552-0.210171521949085i</v>
      </c>
      <c r="F92" s="73" t="str">
        <f t="shared" si="32"/>
        <v>-0.0000528357448483668-0.0000332150472733152i</v>
      </c>
      <c r="G92" s="73" t="str">
        <f t="shared" si="33"/>
        <v>-0.0424712148793467-0.0266994137022417i</v>
      </c>
      <c r="H92" s="76">
        <f t="shared" si="34"/>
        <v>5.0166351126737251E-2</v>
      </c>
      <c r="I92" s="54" t="str">
        <f t="shared" si="35"/>
        <v>0.0826446280991735-0.00144541770131591i</v>
      </c>
      <c r="J92" s="78" t="str">
        <f t="shared" si="36"/>
        <v>0.0356910279549224-0.18551867420409i</v>
      </c>
      <c r="K92" s="78" t="str">
        <f t="shared" si="37"/>
        <v>0.00268151975619252-0.015383710278633i</v>
      </c>
      <c r="L92" s="78" t="str">
        <f t="shared" si="38"/>
        <v>-0.000524623446773116+0.000581769859564118i</v>
      </c>
      <c r="M92" s="73">
        <f t="shared" si="39"/>
        <v>-62.120538334035317</v>
      </c>
      <c r="N92" s="73">
        <f t="shared" si="40"/>
        <v>312.04323843697006</v>
      </c>
      <c r="O92" s="73">
        <f t="shared" si="28"/>
        <v>-47.956761563029943</v>
      </c>
    </row>
    <row r="93" spans="1:18" ht="15">
      <c r="A93" s="74">
        <f t="shared" si="41"/>
        <v>92</v>
      </c>
      <c r="B93" s="73">
        <f t="shared" si="42"/>
        <v>92000</v>
      </c>
      <c r="C93" s="73">
        <f t="shared" si="29"/>
        <v>803.83488491048581</v>
      </c>
      <c r="D93" s="54" t="str">
        <f t="shared" si="30"/>
        <v>0.000182628754324102-0.0000191442044364422i</v>
      </c>
      <c r="E93" s="54" t="str">
        <f t="shared" si="31"/>
        <v>-0.262827164292679-0.202717128730101i</v>
      </c>
      <c r="F93" s="73" t="str">
        <f t="shared" si="32"/>
        <v>-0.0000518806557724857-0.0000319903597354675i</v>
      </c>
      <c r="G93" s="73" t="str">
        <f t="shared" si="33"/>
        <v>-0.0417034809619566-0.0257149671362046i</v>
      </c>
      <c r="H93" s="76">
        <f t="shared" si="34"/>
        <v>4.8994283943745512E-2</v>
      </c>
      <c r="I93" s="54" t="str">
        <f t="shared" si="35"/>
        <v>0.0826446280991735-0.00142970663934509i</v>
      </c>
      <c r="J93" s="78" t="str">
        <f t="shared" si="36"/>
        <v>0.034946320052036-0.183643880286975i</v>
      </c>
      <c r="K93" s="78" t="str">
        <f t="shared" si="37"/>
        <v>0.00262556874921382-0.0152271431748053i</v>
      </c>
      <c r="L93" s="78" t="str">
        <f t="shared" si="38"/>
        <v>-0.000501060842665547+0.000567508461395601i</v>
      </c>
      <c r="M93" s="73">
        <f t="shared" si="39"/>
        <v>-62.417485087215432</v>
      </c>
      <c r="N93" s="73">
        <f t="shared" si="40"/>
        <v>311.44171674623465</v>
      </c>
      <c r="O93" s="73">
        <f t="shared" si="28"/>
        <v>-48.558283253765353</v>
      </c>
    </row>
    <row r="94" spans="1:18" ht="15">
      <c r="A94" s="74">
        <f t="shared" si="41"/>
        <v>93</v>
      </c>
      <c r="B94" s="73">
        <f t="shared" si="42"/>
        <v>93000</v>
      </c>
      <c r="C94" s="73">
        <f t="shared" si="29"/>
        <v>803.83488491048581</v>
      </c>
      <c r="D94" s="54" t="str">
        <f t="shared" si="30"/>
        <v>0.000182628746483313-0.0000189383527759839i</v>
      </c>
      <c r="E94" s="54" t="str">
        <f t="shared" si="31"/>
        <v>-0.258653901662655-0.195599388962652i</v>
      </c>
      <c r="F94" s="73" t="str">
        <f t="shared" si="32"/>
        <v>-0.0000509419680646104-0.0000308235923825791i</v>
      </c>
      <c r="G94" s="73" t="str">
        <f t="shared" si="33"/>
        <v>-0.0409489310363297-0.0247770788353782i</v>
      </c>
      <c r="H94" s="76">
        <f t="shared" si="34"/>
        <v>4.7861452011327778E-2</v>
      </c>
      <c r="I94" s="54" t="str">
        <f t="shared" si="35"/>
        <v>0.0826446280991736-0.00141433344967471i</v>
      </c>
      <c r="J94" s="78" t="str">
        <f t="shared" si="36"/>
        <v>0.0342244093068863-0.181805113004231i</v>
      </c>
      <c r="K94" s="78" t="str">
        <f t="shared" si="37"/>
        <v>0.00257133052643774-0.015073620677641i</v>
      </c>
      <c r="L94" s="78" t="str">
        <f t="shared" si="38"/>
        <v>-0.000478773524263206+0.000553538594431152i</v>
      </c>
      <c r="M94" s="73">
        <f t="shared" si="39"/>
        <v>-62.711358663421677</v>
      </c>
      <c r="N94" s="73">
        <f t="shared" si="40"/>
        <v>310.85759336694076</v>
      </c>
      <c r="O94" s="73">
        <f t="shared" si="28"/>
        <v>-49.142406633059238</v>
      </c>
    </row>
    <row r="95" spans="1:18" ht="15">
      <c r="A95" s="74">
        <f t="shared" si="41"/>
        <v>94</v>
      </c>
      <c r="B95" s="73">
        <f t="shared" si="42"/>
        <v>94000</v>
      </c>
      <c r="C95" s="73">
        <f t="shared" si="29"/>
        <v>803.83488491048581</v>
      </c>
      <c r="D95" s="54" t="str">
        <f t="shared" si="30"/>
        <v>0.000182628738891428-0.0000187368809380837i</v>
      </c>
      <c r="E95" s="54" t="str">
        <f t="shared" si="31"/>
        <v>-0.254519586567639-0.188800829682434i</v>
      </c>
      <c r="F95" s="73" t="str">
        <f t="shared" si="32"/>
        <v>-0.0000500201297847867-0.0000297115542366301i</v>
      </c>
      <c r="G95" s="73" t="str">
        <f t="shared" si="33"/>
        <v>-0.0402079252687616-0.0238831837803132i</v>
      </c>
      <c r="H95" s="76">
        <f t="shared" si="34"/>
        <v>4.6766266922885061E-2</v>
      </c>
      <c r="I95" s="54" t="str">
        <f t="shared" si="35"/>
        <v>0.0826446280991736-0.00139928734914626i</v>
      </c>
      <c r="J95" s="78" t="str">
        <f t="shared" si="36"/>
        <v>0.0335243855787916-0.18000139207894i</v>
      </c>
      <c r="K95" s="78" t="str">
        <f t="shared" si="37"/>
        <v>0.00251873670764775-0.0149230583543258i</v>
      </c>
      <c r="L95" s="78" t="str">
        <f t="shared" si="38"/>
        <v>-0.000457683322553489+0.000539869763409128i</v>
      </c>
      <c r="M95" s="73">
        <f t="shared" si="39"/>
        <v>-63.002200233726875</v>
      </c>
      <c r="N95" s="73">
        <f t="shared" si="40"/>
        <v>310.29015044736866</v>
      </c>
      <c r="O95" s="73">
        <f t="shared" si="28"/>
        <v>-49.70984955263134</v>
      </c>
    </row>
    <row r="96" spans="1:18" ht="15">
      <c r="A96" s="74">
        <f t="shared" si="41"/>
        <v>95</v>
      </c>
      <c r="B96" s="73">
        <f t="shared" si="42"/>
        <v>95000</v>
      </c>
      <c r="C96" s="73">
        <f t="shared" si="29"/>
        <v>803.83488491048581</v>
      </c>
      <c r="D96" s="54" t="str">
        <f t="shared" si="30"/>
        <v>0.000182628731538022-0.0000185396506125561i</v>
      </c>
      <c r="E96" s="54" t="str">
        <f t="shared" si="31"/>
        <v>-0.250429376037459-0.18230490975907i</v>
      </c>
      <c r="F96" s="73" t="str">
        <f t="shared" si="32"/>
        <v>-0.0000491154686174662-0.0000286512412875976i</v>
      </c>
      <c r="G96" s="73" t="str">
        <f t="shared" si="33"/>
        <v>-0.0394807270634455-0.0230308672429586i</v>
      </c>
      <c r="H96" s="76">
        <f t="shared" si="34"/>
        <v>4.5707205727555274E-2</v>
      </c>
      <c r="I96" s="54" t="str">
        <f t="shared" si="35"/>
        <v>0.0826446280991736-0.00138455800862893i</v>
      </c>
      <c r="J96" s="78" t="str">
        <f t="shared" si="36"/>
        <v>0.0328453831465751-0.178231770323166i</v>
      </c>
      <c r="K96" s="78" t="str">
        <f t="shared" si="37"/>
        <v>0.00246772224993051-0.0147753747120975i</v>
      </c>
      <c r="L96" s="78" t="str">
        <f t="shared" si="38"/>
        <v>-0.000437717162077183+0.000526508752737811i</v>
      </c>
      <c r="M96" s="73">
        <f t="shared" si="39"/>
        <v>-63.290051890523806</v>
      </c>
      <c r="N96" s="73">
        <f t="shared" si="40"/>
        <v>309.73870590545033</v>
      </c>
      <c r="O96" s="73">
        <f t="shared" si="28"/>
        <v>-50.261294094549669</v>
      </c>
    </row>
    <row r="97" spans="1:18" ht="15">
      <c r="A97" s="74">
        <f t="shared" si="41"/>
        <v>96</v>
      </c>
      <c r="B97" s="73">
        <f t="shared" si="42"/>
        <v>96000</v>
      </c>
      <c r="C97" s="73">
        <f t="shared" si="29"/>
        <v>803.83488491048581</v>
      </c>
      <c r="D97" s="54" t="str">
        <f t="shared" si="30"/>
        <v>0.000182628724413212-0.0000183465292521393i</v>
      </c>
      <c r="E97" s="54" t="str">
        <f t="shared" si="31"/>
        <v>-0.246387625758944-0.176095980292277i</v>
      </c>
      <c r="F97" s="73" t="str">
        <f t="shared" si="32"/>
        <v>-0.0000482282078571722-0.0000276398264717211i</v>
      </c>
      <c r="G97" s="73" t="str">
        <f t="shared" si="33"/>
        <v>-0.038767515912309-0.0222178567308417i</v>
      </c>
      <c r="H97" s="76">
        <f t="shared" si="34"/>
        <v>4.4682809308763692E-2</v>
      </c>
      <c r="I97" s="54" t="str">
        <f t="shared" si="35"/>
        <v>0.0826446280991735-0.00137013552937238i</v>
      </c>
      <c r="J97" s="78" t="str">
        <f t="shared" si="36"/>
        <v>0.0321865781653446-0.176495332378369i</v>
      </c>
      <c r="K97" s="78" t="str">
        <f t="shared" si="37"/>
        <v>0.00241822525659989-0.0146304910799636i</v>
      </c>
      <c r="L97" s="78" t="str">
        <f t="shared" si="38"/>
        <v>-0.000418806740831272+0.000513460013453345i</v>
      </c>
      <c r="M97" s="73">
        <f t="shared" si="39"/>
        <v>-63.574956416637036</v>
      </c>
      <c r="N97" s="73">
        <f t="shared" si="40"/>
        <v>309.20261154423918</v>
      </c>
      <c r="O97" s="73">
        <f t="shared" si="28"/>
        <v>-50.797388455760824</v>
      </c>
    </row>
    <row r="98" spans="1:18" ht="15">
      <c r="A98" s="74">
        <f t="shared" si="41"/>
        <v>97</v>
      </c>
      <c r="B98" s="73">
        <f t="shared" si="42"/>
        <v>97000</v>
      </c>
      <c r="C98" s="73">
        <f t="shared" si="29"/>
        <v>803.83488491048581</v>
      </c>
      <c r="D98" s="54" t="str">
        <f t="shared" si="30"/>
        <v>0.000182628717507618-0.0000181573897754386i</v>
      </c>
      <c r="E98" s="54" t="str">
        <f t="shared" si="31"/>
        <v>-0.242397983147737-0.170159244212842i</v>
      </c>
      <c r="F98" s="73" t="str">
        <f>IMPRODUCT(D98,E98)</f>
        <v>-0.000047358480509771-0.0000266746498818632i</v>
      </c>
      <c r="G98" s="73" t="str">
        <f>IMPRODUCT(C98,F98)</f>
        <v>-0.0380683987301073-0.021442014117815i</v>
      </c>
      <c r="H98" s="76">
        <f>IMABS(G98)</f>
        <v>4.3691680573113838E-2</v>
      </c>
      <c r="I98" s="54" t="str">
        <f t="shared" si="35"/>
        <v>0.0826446280991736-0.00135601042082215i</v>
      </c>
      <c r="J98" s="78" t="str">
        <f t="shared" si="36"/>
        <v>0.0315471862892393-0.174791193503767i</v>
      </c>
      <c r="K98" s="78" t="str">
        <f>IMPRODUCT(I98,J98)</f>
        <v>0.00237018679859048-0.0144883314954853i</v>
      </c>
      <c r="L98" s="78" t="str">
        <f>IMPRODUCT(G98,K98)</f>
        <v>-0.000400888224583358+0.00050072600150687i</v>
      </c>
      <c r="M98" s="73">
        <f>20*LOG(IMABS(L98))</f>
        <v>-63.856957083036583</v>
      </c>
      <c r="N98" s="73">
        <f t="shared" si="40"/>
        <v>308.68125125000296</v>
      </c>
      <c r="O98" s="73">
        <f t="shared" si="28"/>
        <v>-51.318748749997042</v>
      </c>
    </row>
    <row r="99" spans="1:18" ht="15">
      <c r="A99" s="74">
        <f t="shared" si="41"/>
        <v>98</v>
      </c>
      <c r="B99" s="73">
        <f t="shared" si="42"/>
        <v>98000</v>
      </c>
      <c r="C99" s="73">
        <f t="shared" si="29"/>
        <v>803.83488491048581</v>
      </c>
      <c r="D99" s="54" t="str">
        <f t="shared" si="30"/>
        <v>0.000182628710812341-0.0000179721102880545i</v>
      </c>
      <c r="E99" s="54" t="str">
        <f t="shared" si="31"/>
        <v>-0.238463470296582-0.164480715716955i</v>
      </c>
      <c r="F99" s="73" t="str">
        <f>IMPRODUCT(D99,E99)</f>
        <v>-0.000046506341719225-0.0000257532092770363i</v>
      </c>
      <c r="G99" s="73" t="str">
        <f>IMPRODUCT(C99,F99)</f>
        <v>-0.037383419843481-0.0207013280152821i</v>
      </c>
      <c r="H99" s="76">
        <f>IMABS(G99)</f>
        <v>4.2732482502076487E-2</v>
      </c>
      <c r="I99" s="54" t="str">
        <f t="shared" si="35"/>
        <v>0.0826446280991735-0.00134217357979335i</v>
      </c>
      <c r="J99" s="78" t="str">
        <f t="shared" si="36"/>
        <v>0.0309264604480646-0.173118498411403i</v>
      </c>
      <c r="K99" s="78" t="str">
        <f>IMPRODUCT(I99,J99)</f>
        <v>0.00232355074741281-0.0143488225964277i</v>
      </c>
      <c r="L99" s="78" t="str">
        <f>IMPRODUCT(G99,K99)</f>
        <v>-0.000383901956319909+0.000488307473199537i</v>
      </c>
      <c r="M99" s="73">
        <f>20*LOG(IMABS(L99))</f>
        <v>-64.136097471988023</v>
      </c>
      <c r="N99" s="73">
        <f t="shared" si="40"/>
        <v>308.17403927373118</v>
      </c>
      <c r="O99" s="73">
        <f t="shared" si="28"/>
        <v>-51.825960726268818</v>
      </c>
    </row>
    <row r="100" spans="1:18" ht="15">
      <c r="A100" s="74">
        <f t="shared" si="41"/>
        <v>99</v>
      </c>
      <c r="B100" s="73">
        <f>(fs*1000/2)*(A100/100)</f>
        <v>99000</v>
      </c>
      <c r="C100" s="73">
        <f t="shared" si="29"/>
        <v>803.83488491048581</v>
      </c>
      <c r="D100" s="54" t="str">
        <f t="shared" si="30"/>
        <v>0.000182628704318924-0.0000177905738206139i</v>
      </c>
      <c r="E100" s="54" t="str">
        <f t="shared" si="31"/>
        <v>-0.234586557851577-0.159047180025381i</v>
      </c>
      <c r="F100" s="73" t="str">
        <f>IMPRODUCT(D100,E100)</f>
        <v>-0.0000456717797082718-0.0000248731509388318i</v>
      </c>
      <c r="G100" s="73" t="str">
        <f>IMPRODUCT(C100,F100)</f>
        <v>-0.0367125697854557-0.019993906422277i</v>
      </c>
      <c r="H100" s="76">
        <f>IMABS(G100)</f>
        <v>4.1803936109829708E-2</v>
      </c>
      <c r="I100" s="54" t="str">
        <f t="shared" si="35"/>
        <v>0.0826446280991735-0.00132861627090655i</v>
      </c>
      <c r="J100" s="78" t="str">
        <f t="shared" si="36"/>
        <v>0.0303236887666957-0.171476420146551i</v>
      </c>
      <c r="K100" s="78" t="str">
        <f>IMPRODUCT(I100,J100)</f>
        <v>0.00227826361883514-0.0142118935170787i</v>
      </c>
      <c r="L100" s="78" t="str">
        <f>IMPRODUCT(G100,K100)</f>
        <v>-0.000367792181159987+0.000476203742928949i</v>
      </c>
      <c r="M100" s="73">
        <f>20*LOG(IMABS(L100))</f>
        <v>-64.412421322806125</v>
      </c>
      <c r="N100" s="73">
        <f t="shared" si="40"/>
        <v>307.68041859574691</v>
      </c>
      <c r="O100" s="73">
        <f t="shared" si="28"/>
        <v>-52.319581404253086</v>
      </c>
    </row>
    <row r="101" spans="1:18" ht="15">
      <c r="A101" s="74">
        <f>1+A100</f>
        <v>100</v>
      </c>
      <c r="B101" s="73">
        <f>(fs*1000/2)*(A101/100)</f>
        <v>100000</v>
      </c>
      <c r="C101" s="73">
        <f t="shared" si="29"/>
        <v>803.83488491048581</v>
      </c>
      <c r="D101" s="54" t="str">
        <f t="shared" si="30"/>
        <v>0.000182628698019332-0.0000176126680825187i</v>
      </c>
      <c r="E101" s="54" t="str">
        <f t="shared" si="31"/>
        <v>-0.230769230769231-0.153846153846154i</v>
      </c>
      <c r="F101" s="73" t="str">
        <f>IMPRODUCT(D101,E101)</f>
        <v>-0.0000448547254017718-0.0000240322609070083i</v>
      </c>
      <c r="G101" s="73" t="str">
        <f>IMPRODUCT(C101,F101)</f>
        <v>-0.0360557930310247-0.0193179696803238i</v>
      </c>
      <c r="H101" s="76">
        <f>IMABS(G101)</f>
        <v>4.0904818342904284E-2</v>
      </c>
      <c r="I101" s="54" t="str">
        <f t="shared" si="35"/>
        <v>0.0826446280991736-0.00131533010819748i</v>
      </c>
      <c r="J101" s="78" t="str">
        <f t="shared" si="36"/>
        <v>0.0297381926170169-0.169864159012106i</v>
      </c>
      <c r="K101" s="78" t="str">
        <f>IMPRODUCT(I101,J101)</f>
        <v>0.00223427442652268-0.0140774757890469i</v>
      </c>
      <c r="L101" s="78" t="str">
        <f>IMPRODUCT(G101,K101)</f>
        <v>-0.000352506786765514+0.000464412907820048i</v>
      </c>
      <c r="M101" s="73">
        <f>20*LOG(IMABS(L101))</f>
        <v>-64.685972397671975</v>
      </c>
      <c r="N101" s="73">
        <f t="shared" si="40"/>
        <v>307.19985937225624</v>
      </c>
      <c r="O101" s="73">
        <f t="shared" si="28"/>
        <v>-52.800140627743758</v>
      </c>
      <c r="P101" s="73">
        <v>-32.747</v>
      </c>
      <c r="Q101" s="73">
        <v>307.64999999999998</v>
      </c>
      <c r="R101" s="73">
        <f>B101</f>
        <v>100000</v>
      </c>
    </row>
  </sheetData>
  <phoneticPr fontId="21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45"/>
  <sheetViews>
    <sheetView workbookViewId="0">
      <selection activeCell="C34" sqref="C34"/>
    </sheetView>
  </sheetViews>
  <sheetFormatPr defaultColWidth="9.140625" defaultRowHeight="12.75"/>
  <cols>
    <col min="1" max="1" width="9.140625" style="13"/>
    <col min="2" max="2" width="19.28515625" style="13" bestFit="1" customWidth="1"/>
    <col min="3" max="3" width="12.42578125" style="13" bestFit="1" customWidth="1"/>
    <col min="4" max="4" width="7.7109375" style="13" customWidth="1"/>
    <col min="5" max="5" width="8.7109375" style="3" customWidth="1"/>
    <col min="6" max="8" width="8.7109375" style="5" customWidth="1"/>
    <col min="9" max="9" width="8.7109375" style="6" customWidth="1"/>
    <col min="10" max="11" width="9.140625" style="37"/>
    <col min="12" max="12" width="4.7109375" style="37" bestFit="1" customWidth="1"/>
    <col min="13" max="13" width="10.28515625" style="3" customWidth="1"/>
    <col min="14" max="14" width="9.140625" style="3"/>
    <col min="15" max="16384" width="9.140625" style="50"/>
  </cols>
  <sheetData>
    <row r="1" spans="1:14" ht="18.75" thickBot="1">
      <c r="A1" s="48"/>
      <c r="B1" s="3"/>
      <c r="C1" s="3"/>
      <c r="D1" s="3"/>
      <c r="E1" s="4" t="s">
        <v>138</v>
      </c>
      <c r="J1" s="4" t="s">
        <v>139</v>
      </c>
      <c r="K1" s="7"/>
      <c r="L1" s="7"/>
      <c r="N1" s="7"/>
    </row>
    <row r="2" spans="1:14" ht="13.5" thickBot="1">
      <c r="A2" s="3"/>
      <c r="B2" s="8" t="s">
        <v>140</v>
      </c>
      <c r="C2" s="9">
        <v>127</v>
      </c>
      <c r="D2" s="3"/>
      <c r="E2" s="115" t="s">
        <v>141</v>
      </c>
      <c r="F2" s="116"/>
      <c r="G2" s="117" t="s">
        <v>142</v>
      </c>
      <c r="H2" s="118"/>
      <c r="J2" s="10" t="s">
        <v>143</v>
      </c>
      <c r="K2" s="11">
        <v>1000</v>
      </c>
      <c r="L2" s="12" t="s">
        <v>62</v>
      </c>
      <c r="N2" s="22"/>
    </row>
    <row r="3" spans="1:14" ht="13.5" thickBot="1">
      <c r="B3" s="3"/>
      <c r="C3" s="13" t="s">
        <v>19</v>
      </c>
      <c r="E3" s="14">
        <v>100</v>
      </c>
      <c r="F3" s="15">
        <v>150</v>
      </c>
      <c r="G3" s="16">
        <v>100</v>
      </c>
      <c r="H3" s="17">
        <v>102</v>
      </c>
      <c r="J3" s="10"/>
      <c r="K3" s="18">
        <f>IF(K2&lt;10000,sta*10^INT(LOG(K2)),stb*10^INT(LOG(K2)))</f>
        <v>1000</v>
      </c>
      <c r="L3" s="19" t="s">
        <v>62</v>
      </c>
      <c r="N3" s="26"/>
    </row>
    <row r="4" spans="1:14" ht="13.5" thickBot="1">
      <c r="B4" s="20" t="s">
        <v>144</v>
      </c>
      <c r="C4" s="70">
        <f>(IF((10^(LOG(C2)-INT(LOG(C2)))*100)-VLOOKUP((10^(LOG(C2)-INT(LOG(C2)))*100),E6_s:E6_f,1)&lt;VLOOKUP((10^(LOG(C2)-INT(LOG(C2)))*100),E6_s:E6_f,2)-(10^(LOG(C2)-INT(LOG(C2)))*100),VLOOKUP((10^(LOG(C2)-INT(LOG(C2)))*100),E6_s:E6_f,1),VLOOKUP((10^(LOG(C2)-INT(LOG(C2)))*100),E6_s:E6_f,2)))*10^INT(LOG(C2))/100</f>
        <v>150</v>
      </c>
      <c r="E4" s="15">
        <v>150</v>
      </c>
      <c r="F4" s="14">
        <v>220</v>
      </c>
      <c r="G4" s="17">
        <v>102</v>
      </c>
      <c r="H4" s="16">
        <v>105</v>
      </c>
      <c r="J4" s="21"/>
      <c r="K4" s="22"/>
      <c r="L4" s="23"/>
      <c r="M4" s="5"/>
      <c r="N4" s="26"/>
    </row>
    <row r="5" spans="1:14" ht="13.5" thickBot="1">
      <c r="B5" s="24" t="s">
        <v>145</v>
      </c>
      <c r="C5" s="69">
        <f>(IF((10^(LOG(C2)-INT(LOG(C2)))*100)-VLOOKUP((10^(LOG(C2)-INT(LOG(C2)))*100),E12_s:E12_f,1)&lt;VLOOKUP((10^(LOG(C2)-INT(LOG(C2)))*100),E12_s:E12_f,2)-(10^(LOG(C2)-INT(LOG(C2)))*100),VLOOKUP((10^(LOG(C2)-INT(LOG(C2)))*100),E12_s:E12_f,1),VLOOKUP((10^(LOG(C2)-INT(LOG(C2)))*100),E12_s:E12_f,2)))*10^INT(LOG(C2))/100</f>
        <v>120</v>
      </c>
      <c r="E5" s="14">
        <v>220</v>
      </c>
      <c r="F5" s="15">
        <v>330</v>
      </c>
      <c r="G5" s="16">
        <v>105</v>
      </c>
      <c r="H5" s="17">
        <v>107</v>
      </c>
      <c r="J5" s="25" t="s">
        <v>146</v>
      </c>
      <c r="K5" s="26"/>
      <c r="L5" s="5"/>
      <c r="N5" s="26"/>
    </row>
    <row r="6" spans="1:14" ht="13.5" thickBot="1">
      <c r="B6" s="24" t="s">
        <v>147</v>
      </c>
      <c r="C6" s="69">
        <f>(IF((10^(LOG(C2)-INT(LOG(C2)))*100)-VLOOKUP((10^(LOG(C2)-INT(LOG(C2)))*100),E24_s:E24_f,1)&lt;VLOOKUP((10^(LOG(C2)-INT(LOG(C2)))*100),E24_s:E24_f,2)-(10^(LOG(C2)-INT(LOG(C2)))*100),VLOOKUP((10^(LOG(C2)-INT(LOG(C2)))*100),E24_s:E24_f,1),VLOOKUP((10^(LOG(C2)-INT(LOG(C2)))*100),E24_s:E24_f,2)))*10^INT(LOG(C2))/100</f>
        <v>130</v>
      </c>
      <c r="E6" s="15">
        <v>330</v>
      </c>
      <c r="F6" s="14">
        <v>470</v>
      </c>
      <c r="G6" s="17">
        <v>107</v>
      </c>
      <c r="H6" s="16">
        <v>110</v>
      </c>
      <c r="J6" s="26">
        <v>1</v>
      </c>
      <c r="K6" s="26">
        <v>1.2</v>
      </c>
      <c r="L6" s="27">
        <f>IF((10^(LOG(K2)-INT(LOG(K2))))-VLOOKUP((10^(LOG(K2)-INT(LOG(K2)))),c_s1:C_f1,1)&lt;VLOOKUP((10^(LOG(K2)-INT(LOG(K2)))),c_s1:C_f1,2)-(10^(LOG(K2)-INT(LOG(K2)))),VLOOKUP((10^(LOG(K2)-INT(LOG(K2)))),c_s1:C_f1,1),VLOOKUP((10^(LOG(K2)-INT(LOG(K2)))),c_s1:C_f1,2))</f>
        <v>1</v>
      </c>
      <c r="N6" s="26"/>
    </row>
    <row r="7" spans="1:14" ht="13.5" thickBot="1">
      <c r="B7" s="24" t="s">
        <v>148</v>
      </c>
      <c r="C7" s="69">
        <f>(IF((10^(LOG(C2)-INT(LOG(C2)))*100)-VLOOKUP((10^(LOG(C2)-INT(LOG(C2)))*100),E48_s:E48_f,1)&lt;VLOOKUP((10^(LOG(C2)-INT(LOG(C2)))*100),E48_s:E48_f,2)-(10^(LOG(C2)-INT(LOG(C2)))*100),VLOOKUP((10^(LOG(C2)-INT(LOG(C2)))*100),E48_s:E48_f,1),VLOOKUP((10^(LOG(C2)-INT(LOG(C2)))*100),E48_s:E48_f,2)))*10^INT(LOG(C2))/100</f>
        <v>127</v>
      </c>
      <c r="D7" s="2"/>
      <c r="E7" s="14">
        <v>470</v>
      </c>
      <c r="F7" s="15">
        <v>680</v>
      </c>
      <c r="G7" s="16">
        <v>110</v>
      </c>
      <c r="H7" s="17">
        <v>113</v>
      </c>
      <c r="J7" s="26">
        <v>1.2</v>
      </c>
      <c r="K7" s="26">
        <v>1.5</v>
      </c>
      <c r="L7" s="28"/>
      <c r="N7" s="26"/>
    </row>
    <row r="8" spans="1:14" ht="13.5" thickBot="1">
      <c r="B8" s="29" t="s">
        <v>149</v>
      </c>
      <c r="C8" s="71">
        <f>(IF((10^(LOG(C2)-INT(LOG(C2)))*100)-VLOOKUP((10^(LOG(C2)-INT(LOG(C2)))*100),E96_s:E96_f,1)&lt;VLOOKUP((10^(LOG(C2)-INT(LOG(C2)))*100),E96_s:E96_f,2)-(10^(LOG(C2)-INT(LOG(C2)))*100),VLOOKUP((10^(LOG(C2)-INT(LOG(C2)))*100),E96_s:E96_f,1),VLOOKUP((10^(LOG(C2)-INT(LOG(C2)))*100),E96_s:E96_f,2)))*10^INT(LOG(C2))/100</f>
        <v>127</v>
      </c>
      <c r="D8" s="5"/>
      <c r="E8" s="15">
        <v>680</v>
      </c>
      <c r="F8" s="15">
        <v>1000</v>
      </c>
      <c r="G8" s="17">
        <v>113</v>
      </c>
      <c r="H8" s="16">
        <v>115</v>
      </c>
      <c r="J8" s="26">
        <v>1.5</v>
      </c>
      <c r="K8" s="26">
        <v>1.8</v>
      </c>
      <c r="L8" s="28"/>
      <c r="N8" s="26"/>
    </row>
    <row r="9" spans="1:14" ht="13.5" thickBot="1">
      <c r="B9" s="2"/>
      <c r="C9" s="2"/>
      <c r="D9" s="2"/>
      <c r="E9" s="119" t="s">
        <v>150</v>
      </c>
      <c r="F9" s="120"/>
      <c r="G9" s="16">
        <v>115</v>
      </c>
      <c r="H9" s="17">
        <v>118</v>
      </c>
      <c r="J9" s="26">
        <v>1.8</v>
      </c>
      <c r="K9" s="26">
        <v>2.2000000000000002</v>
      </c>
      <c r="L9" s="31"/>
      <c r="N9" s="26"/>
    </row>
    <row r="10" spans="1:14" ht="13.5" thickBot="1">
      <c r="E10" s="32">
        <v>100</v>
      </c>
      <c r="F10" s="33">
        <v>120</v>
      </c>
      <c r="G10" s="17">
        <v>118</v>
      </c>
      <c r="H10" s="16">
        <v>121</v>
      </c>
      <c r="J10" s="26">
        <v>2.2000000000000002</v>
      </c>
      <c r="K10" s="26">
        <v>2.7</v>
      </c>
      <c r="L10" s="5"/>
      <c r="N10" s="26"/>
    </row>
    <row r="11" spans="1:14" ht="13.5" thickBot="1">
      <c r="E11" s="33">
        <v>120</v>
      </c>
      <c r="F11" s="33">
        <v>150</v>
      </c>
      <c r="G11" s="16">
        <v>121</v>
      </c>
      <c r="H11" s="17">
        <v>124</v>
      </c>
      <c r="J11" s="26">
        <v>2.7</v>
      </c>
      <c r="K11" s="26">
        <v>3.3</v>
      </c>
      <c r="L11" s="5"/>
      <c r="N11" s="26"/>
    </row>
    <row r="12" spans="1:14" ht="13.5" thickBot="1">
      <c r="C12" s="36"/>
      <c r="E12" s="33">
        <v>150</v>
      </c>
      <c r="F12" s="33">
        <v>180</v>
      </c>
      <c r="G12" s="17">
        <v>124</v>
      </c>
      <c r="H12" s="16">
        <v>127</v>
      </c>
      <c r="J12" s="26">
        <v>3.3</v>
      </c>
      <c r="K12" s="26">
        <v>3.9</v>
      </c>
      <c r="L12" s="5"/>
      <c r="N12" s="26"/>
    </row>
    <row r="13" spans="1:14" ht="13.5" thickBot="1">
      <c r="A13" s="2"/>
      <c r="B13" s="2"/>
      <c r="C13" s="2"/>
      <c r="D13" s="2"/>
      <c r="E13" s="33">
        <v>180</v>
      </c>
      <c r="F13" s="32">
        <v>220</v>
      </c>
      <c r="G13" s="16">
        <v>127</v>
      </c>
      <c r="H13" s="17">
        <v>130</v>
      </c>
      <c r="J13" s="26">
        <v>3.9</v>
      </c>
      <c r="K13" s="26">
        <v>4.7</v>
      </c>
      <c r="L13" s="5"/>
      <c r="N13" s="26"/>
    </row>
    <row r="14" spans="1:14" ht="13.5" thickBot="1">
      <c r="A14" s="2"/>
      <c r="B14" s="2"/>
      <c r="C14" s="2"/>
      <c r="D14" s="34"/>
      <c r="E14" s="32">
        <v>220</v>
      </c>
      <c r="F14" s="33">
        <v>270</v>
      </c>
      <c r="G14" s="17">
        <v>130</v>
      </c>
      <c r="H14" s="16">
        <v>133</v>
      </c>
      <c r="J14" s="26">
        <v>4.7</v>
      </c>
      <c r="K14" s="26">
        <v>5.6</v>
      </c>
      <c r="L14" s="5"/>
      <c r="N14" s="26"/>
    </row>
    <row r="15" spans="1:14" ht="13.5" thickBot="1">
      <c r="A15" s="49"/>
      <c r="B15" s="35"/>
      <c r="C15" s="2"/>
      <c r="D15" s="36"/>
      <c r="E15" s="33">
        <v>270</v>
      </c>
      <c r="F15" s="33">
        <v>330</v>
      </c>
      <c r="G15" s="16">
        <v>133</v>
      </c>
      <c r="H15" s="17">
        <v>137</v>
      </c>
      <c r="J15" s="26">
        <v>5.6</v>
      </c>
      <c r="K15" s="26">
        <v>6.8</v>
      </c>
      <c r="L15" s="5"/>
      <c r="N15" s="26"/>
    </row>
    <row r="16" spans="1:14" ht="13.5" thickBot="1">
      <c r="A16" s="49"/>
      <c r="B16" s="35"/>
      <c r="C16" s="2"/>
      <c r="D16" s="36"/>
      <c r="E16" s="33">
        <v>330</v>
      </c>
      <c r="F16" s="33">
        <v>390</v>
      </c>
      <c r="G16" s="17">
        <v>137</v>
      </c>
      <c r="H16" s="16">
        <v>140</v>
      </c>
      <c r="J16" s="26">
        <v>6.8</v>
      </c>
      <c r="K16" s="26">
        <v>8.1999999999999993</v>
      </c>
      <c r="L16" s="5"/>
      <c r="N16" s="26"/>
    </row>
    <row r="17" spans="1:14" ht="13.5" thickBot="1">
      <c r="A17" s="49"/>
      <c r="B17" s="35"/>
      <c r="C17" s="2"/>
      <c r="D17" s="36"/>
      <c r="E17" s="33">
        <v>390</v>
      </c>
      <c r="F17" s="32">
        <v>470</v>
      </c>
      <c r="G17" s="16">
        <v>140</v>
      </c>
      <c r="H17" s="17">
        <v>143</v>
      </c>
      <c r="J17" s="26">
        <v>8.1999999999999993</v>
      </c>
      <c r="K17" s="26">
        <v>10</v>
      </c>
      <c r="L17" s="5"/>
      <c r="N17" s="26"/>
    </row>
    <row r="18" spans="1:14" ht="13.5" thickBot="1">
      <c r="A18" s="49"/>
      <c r="B18" s="35"/>
      <c r="C18" s="2"/>
      <c r="D18" s="36"/>
      <c r="E18" s="32">
        <v>470</v>
      </c>
      <c r="F18" s="33">
        <v>560</v>
      </c>
      <c r="G18" s="17">
        <v>143</v>
      </c>
      <c r="H18" s="16">
        <v>147</v>
      </c>
      <c r="J18" s="25" t="s">
        <v>151</v>
      </c>
      <c r="K18" s="26"/>
      <c r="L18" s="26"/>
      <c r="N18" s="26"/>
    </row>
    <row r="19" spans="1:14" ht="13.5" thickBot="1">
      <c r="A19" s="49"/>
      <c r="B19" s="35"/>
      <c r="C19" s="2"/>
      <c r="D19" s="36"/>
      <c r="E19" s="33">
        <v>560</v>
      </c>
      <c r="F19" s="33">
        <v>680</v>
      </c>
      <c r="G19" s="16">
        <v>147</v>
      </c>
      <c r="H19" s="17">
        <v>150</v>
      </c>
      <c r="J19" s="26">
        <v>1</v>
      </c>
      <c r="K19" s="26">
        <v>1.5</v>
      </c>
      <c r="L19" s="27">
        <f>IF((10^(LOG(K2)-INT(LOG(K2))))-VLOOKUP((10^(LOG(K2)-INT(LOG(K2)))),C_s2:C_f2,1)&lt;VLOOKUP((10^(LOG(K2)-INT(LOG(K2)))),C_s2:C_f2,2)-(10^(LOG(K2)-INT(LOG(K2)))),VLOOKUP((10^(LOG(K2)-INT(LOG(K2)))),C_s2:C_f2,1),VLOOKUP((10^(LOG(K2)-INT(LOG(K2)))),C_s2:C_f2,2))</f>
        <v>1</v>
      </c>
      <c r="N19" s="26"/>
    </row>
    <row r="20" spans="1:14" ht="13.5" thickBot="1">
      <c r="A20" s="49"/>
      <c r="B20" s="35"/>
      <c r="C20" s="2"/>
      <c r="D20" s="36"/>
      <c r="E20" s="30">
        <v>680</v>
      </c>
      <c r="F20" s="33">
        <v>820</v>
      </c>
      <c r="G20" s="17">
        <v>150</v>
      </c>
      <c r="H20" s="16">
        <v>154</v>
      </c>
      <c r="J20" s="26">
        <v>1.5</v>
      </c>
      <c r="K20" s="26">
        <v>2.2000000000000002</v>
      </c>
      <c r="N20" s="26"/>
    </row>
    <row r="21" spans="1:14" ht="13.5" thickBot="1">
      <c r="A21" s="49"/>
      <c r="B21" s="35"/>
      <c r="C21" s="2"/>
      <c r="D21" s="36"/>
      <c r="E21" s="30">
        <v>820</v>
      </c>
      <c r="F21" s="33">
        <v>1000</v>
      </c>
      <c r="G21" s="16">
        <v>154</v>
      </c>
      <c r="H21" s="17">
        <v>158</v>
      </c>
      <c r="J21" s="26">
        <v>2.2000000000000002</v>
      </c>
      <c r="K21" s="26">
        <v>3.3</v>
      </c>
      <c r="L21" s="27"/>
      <c r="N21" s="26"/>
    </row>
    <row r="22" spans="1:14" ht="13.5" thickBot="1">
      <c r="A22" s="49"/>
      <c r="B22" s="35"/>
      <c r="C22" s="2"/>
      <c r="D22" s="36"/>
      <c r="E22" s="121" t="s">
        <v>152</v>
      </c>
      <c r="F22" s="122"/>
      <c r="G22" s="17">
        <v>158</v>
      </c>
      <c r="H22" s="16">
        <v>162</v>
      </c>
      <c r="J22" s="26">
        <v>3.3</v>
      </c>
      <c r="K22" s="26">
        <v>4.7</v>
      </c>
      <c r="L22" s="27"/>
      <c r="N22" s="26"/>
    </row>
    <row r="23" spans="1:14" ht="13.5" thickBot="1">
      <c r="A23" s="49"/>
      <c r="B23" s="35"/>
      <c r="C23" s="2"/>
      <c r="D23" s="36"/>
      <c r="E23" s="38">
        <v>100</v>
      </c>
      <c r="F23" s="39">
        <v>110</v>
      </c>
      <c r="G23" s="16">
        <v>162</v>
      </c>
      <c r="H23" s="17">
        <v>165</v>
      </c>
      <c r="J23" s="26">
        <v>4.7</v>
      </c>
      <c r="K23" s="26">
        <v>6.8</v>
      </c>
      <c r="L23" s="5"/>
    </row>
    <row r="24" spans="1:14" ht="13.5" thickBot="1">
      <c r="A24" s="49"/>
      <c r="B24" s="35"/>
      <c r="C24" s="2"/>
      <c r="D24" s="36"/>
      <c r="E24" s="39">
        <v>110</v>
      </c>
      <c r="F24" s="39">
        <v>120</v>
      </c>
      <c r="G24" s="17">
        <v>165</v>
      </c>
      <c r="H24" s="16">
        <v>169</v>
      </c>
      <c r="J24" s="26">
        <v>6.8</v>
      </c>
      <c r="K24" s="26">
        <v>10</v>
      </c>
      <c r="L24" s="5"/>
    </row>
    <row r="25" spans="1:14" ht="13.5" thickBot="1">
      <c r="A25" s="49"/>
      <c r="B25" s="35"/>
      <c r="C25" s="2"/>
      <c r="D25" s="36"/>
      <c r="E25" s="39">
        <v>120</v>
      </c>
      <c r="F25" s="39">
        <v>130</v>
      </c>
      <c r="G25" s="16">
        <v>169</v>
      </c>
      <c r="H25" s="17">
        <v>174</v>
      </c>
      <c r="J25" s="40"/>
      <c r="K25" s="40"/>
      <c r="L25" s="40"/>
    </row>
    <row r="26" spans="1:14" ht="13.5" thickBot="1">
      <c r="A26" s="49"/>
      <c r="B26" s="35"/>
      <c r="C26" s="2"/>
      <c r="D26" s="36"/>
      <c r="E26" s="39">
        <v>130</v>
      </c>
      <c r="F26" s="39">
        <v>150</v>
      </c>
      <c r="G26" s="17">
        <v>174</v>
      </c>
      <c r="H26" s="16">
        <v>178</v>
      </c>
      <c r="J26" s="40"/>
      <c r="K26" s="40"/>
      <c r="L26" s="40"/>
    </row>
    <row r="27" spans="1:14" ht="13.5" thickBot="1">
      <c r="A27" s="49"/>
      <c r="B27" s="35"/>
      <c r="C27" s="2"/>
      <c r="D27" s="36"/>
      <c r="E27" s="39">
        <v>150</v>
      </c>
      <c r="F27" s="39">
        <v>160</v>
      </c>
      <c r="G27" s="16">
        <v>178</v>
      </c>
      <c r="H27" s="17">
        <v>182</v>
      </c>
      <c r="I27" s="41"/>
      <c r="J27" s="40"/>
      <c r="K27" s="40"/>
      <c r="L27" s="40"/>
    </row>
    <row r="28" spans="1:14" ht="13.5" thickBot="1">
      <c r="A28" s="49"/>
      <c r="B28" s="35"/>
      <c r="C28" s="2"/>
      <c r="D28" s="36"/>
      <c r="E28" s="39">
        <v>160</v>
      </c>
      <c r="F28" s="39">
        <v>180</v>
      </c>
      <c r="G28" s="17">
        <v>182</v>
      </c>
      <c r="H28" s="16">
        <v>187</v>
      </c>
      <c r="I28" s="41"/>
      <c r="J28" s="40"/>
      <c r="K28" s="40"/>
      <c r="L28" s="40"/>
    </row>
    <row r="29" spans="1:14" ht="13.5" thickBot="1">
      <c r="A29" s="49"/>
      <c r="B29" s="35"/>
      <c r="C29" s="2"/>
      <c r="D29" s="36"/>
      <c r="E29" s="39">
        <v>180</v>
      </c>
      <c r="F29" s="42">
        <v>200</v>
      </c>
      <c r="G29" s="16">
        <v>187</v>
      </c>
      <c r="H29" s="17">
        <v>191</v>
      </c>
      <c r="I29" s="41"/>
      <c r="J29" s="40"/>
      <c r="K29" s="40"/>
      <c r="L29" s="40"/>
    </row>
    <row r="30" spans="1:14" ht="13.5" thickBot="1">
      <c r="A30" s="49"/>
      <c r="B30" s="35"/>
      <c r="C30" s="2"/>
      <c r="D30" s="36"/>
      <c r="E30" s="42">
        <v>200</v>
      </c>
      <c r="F30" s="38">
        <v>220</v>
      </c>
      <c r="G30" s="17">
        <v>191</v>
      </c>
      <c r="H30" s="16">
        <v>196</v>
      </c>
      <c r="I30" s="41"/>
      <c r="J30" s="40"/>
      <c r="K30" s="40"/>
      <c r="L30" s="40"/>
    </row>
    <row r="31" spans="1:14" ht="13.5" thickBot="1">
      <c r="A31" s="49"/>
      <c r="B31" s="35"/>
      <c r="C31" s="2"/>
      <c r="D31" s="36"/>
      <c r="E31" s="38">
        <v>220</v>
      </c>
      <c r="F31" s="39">
        <v>240</v>
      </c>
      <c r="G31" s="16">
        <v>196</v>
      </c>
      <c r="H31" s="17">
        <v>200</v>
      </c>
      <c r="I31" s="41"/>
      <c r="J31" s="40"/>
      <c r="K31" s="40"/>
      <c r="L31" s="40"/>
      <c r="N31" s="45"/>
    </row>
    <row r="32" spans="1:14" ht="13.5" thickBot="1">
      <c r="A32" s="49"/>
      <c r="B32" s="35"/>
      <c r="C32" s="2"/>
      <c r="D32" s="36"/>
      <c r="E32" s="39">
        <v>240</v>
      </c>
      <c r="F32" s="39">
        <v>270</v>
      </c>
      <c r="G32" s="17">
        <v>200</v>
      </c>
      <c r="H32" s="16">
        <v>205</v>
      </c>
      <c r="I32" s="41"/>
      <c r="J32" s="40"/>
      <c r="K32" s="40"/>
      <c r="L32" s="40"/>
      <c r="N32" s="45"/>
    </row>
    <row r="33" spans="1:14" s="45" customFormat="1" ht="13.5" thickBot="1">
      <c r="A33" s="49"/>
      <c r="B33" s="35"/>
      <c r="C33" s="2"/>
      <c r="D33" s="36"/>
      <c r="E33" s="39">
        <v>270</v>
      </c>
      <c r="F33" s="39">
        <v>300</v>
      </c>
      <c r="G33" s="16">
        <v>205</v>
      </c>
      <c r="H33" s="17">
        <v>210</v>
      </c>
      <c r="I33" s="43"/>
      <c r="J33" s="40"/>
      <c r="K33" s="40"/>
      <c r="L33" s="40"/>
    </row>
    <row r="34" spans="1:14" s="45" customFormat="1" ht="13.5" thickBot="1">
      <c r="A34" s="44"/>
      <c r="B34" s="44"/>
      <c r="C34" s="44"/>
      <c r="D34" s="44"/>
      <c r="E34" s="39">
        <v>300</v>
      </c>
      <c r="F34" s="39">
        <v>330</v>
      </c>
      <c r="G34" s="17">
        <v>210</v>
      </c>
      <c r="H34" s="16">
        <v>215</v>
      </c>
      <c r="I34" s="6"/>
      <c r="J34" s="40"/>
      <c r="K34" s="40"/>
      <c r="L34" s="40"/>
    </row>
    <row r="35" spans="1:14" s="45" customFormat="1" ht="13.5" thickBot="1">
      <c r="E35" s="39">
        <v>330</v>
      </c>
      <c r="F35" s="39">
        <v>360</v>
      </c>
      <c r="G35" s="16">
        <v>215</v>
      </c>
      <c r="H35" s="17">
        <v>221</v>
      </c>
      <c r="I35" s="6"/>
      <c r="J35" s="40"/>
      <c r="K35" s="40"/>
      <c r="L35" s="40"/>
    </row>
    <row r="36" spans="1:14" s="45" customFormat="1" ht="13.5" thickBot="1">
      <c r="E36" s="39">
        <v>360</v>
      </c>
      <c r="F36" s="39">
        <v>390</v>
      </c>
      <c r="G36" s="17">
        <v>221</v>
      </c>
      <c r="H36" s="16">
        <v>226</v>
      </c>
      <c r="I36" s="6"/>
      <c r="J36" s="40"/>
      <c r="K36" s="40"/>
      <c r="L36" s="40"/>
      <c r="N36" s="3"/>
    </row>
    <row r="37" spans="1:14" s="45" customFormat="1" ht="13.5" thickBot="1">
      <c r="E37" s="39">
        <v>390</v>
      </c>
      <c r="F37" s="42">
        <v>430</v>
      </c>
      <c r="G37" s="16">
        <v>226</v>
      </c>
      <c r="H37" s="17">
        <v>232</v>
      </c>
      <c r="I37" s="41"/>
      <c r="J37" s="40"/>
      <c r="K37" s="40"/>
      <c r="L37" s="40"/>
      <c r="N37" s="3"/>
    </row>
    <row r="38" spans="1:14" ht="13.5" thickBot="1">
      <c r="E38" s="42">
        <v>430</v>
      </c>
      <c r="F38" s="38">
        <v>470</v>
      </c>
      <c r="G38" s="17">
        <v>232</v>
      </c>
      <c r="H38" s="16">
        <v>237</v>
      </c>
      <c r="I38" s="41"/>
      <c r="J38" s="40"/>
      <c r="K38" s="40"/>
      <c r="L38" s="40"/>
    </row>
    <row r="39" spans="1:14" ht="13.5" thickBot="1">
      <c r="E39" s="38">
        <v>470</v>
      </c>
      <c r="F39" s="39">
        <v>510</v>
      </c>
      <c r="G39" s="16">
        <v>237</v>
      </c>
      <c r="H39" s="17">
        <v>243</v>
      </c>
      <c r="I39" s="41"/>
      <c r="J39" s="40"/>
      <c r="K39" s="40"/>
      <c r="L39" s="40"/>
    </row>
    <row r="40" spans="1:14" ht="13.5" thickBot="1">
      <c r="E40" s="39">
        <v>510</v>
      </c>
      <c r="F40" s="39">
        <v>560</v>
      </c>
      <c r="G40" s="17">
        <v>243</v>
      </c>
      <c r="H40" s="16">
        <v>249</v>
      </c>
      <c r="I40" s="41"/>
      <c r="J40" s="40"/>
      <c r="K40" s="40"/>
      <c r="L40" s="40"/>
    </row>
    <row r="41" spans="1:14" ht="13.5" thickBot="1">
      <c r="E41" s="39">
        <v>560</v>
      </c>
      <c r="F41" s="39">
        <v>620</v>
      </c>
      <c r="G41" s="16">
        <v>249</v>
      </c>
      <c r="H41" s="17">
        <v>255</v>
      </c>
      <c r="I41" s="41"/>
      <c r="J41" s="40"/>
      <c r="K41" s="40"/>
      <c r="L41" s="40"/>
    </row>
    <row r="42" spans="1:14" ht="13.5" thickBot="1">
      <c r="E42" s="39">
        <v>620</v>
      </c>
      <c r="F42" s="39">
        <v>680</v>
      </c>
      <c r="G42" s="17">
        <v>255</v>
      </c>
      <c r="H42" s="16">
        <v>261</v>
      </c>
      <c r="I42" s="41"/>
      <c r="J42" s="40"/>
      <c r="K42" s="40"/>
      <c r="L42" s="40"/>
    </row>
    <row r="43" spans="1:14" ht="13.5" thickBot="1">
      <c r="E43" s="39">
        <v>680</v>
      </c>
      <c r="F43" s="39">
        <v>750</v>
      </c>
      <c r="G43" s="16">
        <v>261</v>
      </c>
      <c r="H43" s="17">
        <v>267</v>
      </c>
      <c r="I43" s="41"/>
      <c r="J43" s="40"/>
      <c r="K43" s="40"/>
      <c r="L43" s="40"/>
    </row>
    <row r="44" spans="1:14" ht="13.5" thickBot="1">
      <c r="E44" s="39">
        <v>750</v>
      </c>
      <c r="F44" s="39">
        <v>820</v>
      </c>
      <c r="G44" s="17">
        <v>267</v>
      </c>
      <c r="H44" s="16">
        <v>274</v>
      </c>
      <c r="J44" s="40"/>
      <c r="K44" s="40"/>
      <c r="L44" s="40"/>
    </row>
    <row r="45" spans="1:14" ht="13.5" thickBot="1">
      <c r="E45" s="39">
        <v>820</v>
      </c>
      <c r="F45" s="42">
        <v>910</v>
      </c>
      <c r="G45" s="16">
        <v>274</v>
      </c>
      <c r="H45" s="17">
        <v>280</v>
      </c>
      <c r="J45" s="40"/>
      <c r="K45" s="40"/>
      <c r="L45" s="40"/>
    </row>
    <row r="46" spans="1:14" ht="13.5" thickBot="1">
      <c r="E46" s="42">
        <v>910</v>
      </c>
      <c r="F46" s="42">
        <v>1000</v>
      </c>
      <c r="G46" s="17">
        <v>280</v>
      </c>
      <c r="H46" s="16">
        <v>287</v>
      </c>
      <c r="J46" s="40"/>
      <c r="K46" s="40"/>
      <c r="L46" s="40"/>
    </row>
    <row r="47" spans="1:14" ht="13.5" thickBot="1">
      <c r="E47" s="114" t="s">
        <v>153</v>
      </c>
      <c r="F47" s="114"/>
      <c r="G47" s="16">
        <v>287</v>
      </c>
      <c r="H47" s="17">
        <v>294</v>
      </c>
      <c r="J47" s="40"/>
      <c r="K47" s="40"/>
      <c r="L47" s="40"/>
    </row>
    <row r="48" spans="1:14" ht="13.5" thickBot="1">
      <c r="E48" s="46">
        <v>100</v>
      </c>
      <c r="F48" s="46">
        <v>105</v>
      </c>
      <c r="G48" s="17">
        <v>294</v>
      </c>
      <c r="H48" s="16">
        <v>301</v>
      </c>
      <c r="J48" s="40"/>
      <c r="K48" s="40"/>
      <c r="L48" s="40"/>
    </row>
    <row r="49" spans="5:12" ht="13.5" thickBot="1">
      <c r="E49" s="46">
        <v>105</v>
      </c>
      <c r="F49" s="46">
        <v>110</v>
      </c>
      <c r="G49" s="16">
        <v>301</v>
      </c>
      <c r="H49" s="17">
        <v>309</v>
      </c>
      <c r="J49" s="40"/>
      <c r="K49" s="40"/>
      <c r="L49" s="40"/>
    </row>
    <row r="50" spans="5:12" ht="13.5" thickBot="1">
      <c r="E50" s="46">
        <v>110</v>
      </c>
      <c r="F50" s="46">
        <v>115</v>
      </c>
      <c r="G50" s="17">
        <v>309</v>
      </c>
      <c r="H50" s="16">
        <v>316</v>
      </c>
      <c r="J50" s="40"/>
      <c r="K50" s="40"/>
      <c r="L50" s="40"/>
    </row>
    <row r="51" spans="5:12" ht="13.5" thickBot="1">
      <c r="E51" s="46">
        <v>115</v>
      </c>
      <c r="F51" s="46">
        <v>121</v>
      </c>
      <c r="G51" s="16">
        <v>316</v>
      </c>
      <c r="H51" s="17">
        <v>324</v>
      </c>
      <c r="J51" s="40"/>
      <c r="K51" s="40"/>
      <c r="L51" s="40"/>
    </row>
    <row r="52" spans="5:12" ht="13.5" thickBot="1">
      <c r="E52" s="46">
        <v>121</v>
      </c>
      <c r="F52" s="46">
        <v>127</v>
      </c>
      <c r="G52" s="17">
        <v>324</v>
      </c>
      <c r="H52" s="16">
        <v>332</v>
      </c>
      <c r="J52" s="40"/>
      <c r="K52" s="40"/>
      <c r="L52" s="40"/>
    </row>
    <row r="53" spans="5:12" ht="13.5" thickBot="1">
      <c r="E53" s="46">
        <v>127</v>
      </c>
      <c r="F53" s="46">
        <v>133</v>
      </c>
      <c r="G53" s="16">
        <v>332</v>
      </c>
      <c r="H53" s="17">
        <v>340</v>
      </c>
      <c r="J53" s="40"/>
      <c r="K53" s="40"/>
      <c r="L53" s="40"/>
    </row>
    <row r="54" spans="5:12" ht="13.5" thickBot="1">
      <c r="E54" s="46">
        <v>133</v>
      </c>
      <c r="F54" s="46">
        <v>140</v>
      </c>
      <c r="G54" s="17">
        <v>340</v>
      </c>
      <c r="H54" s="16">
        <v>348</v>
      </c>
      <c r="J54" s="40"/>
      <c r="K54" s="40"/>
      <c r="L54" s="40"/>
    </row>
    <row r="55" spans="5:12" ht="13.5" thickBot="1">
      <c r="E55" s="46">
        <v>140</v>
      </c>
      <c r="F55" s="46">
        <v>147</v>
      </c>
      <c r="G55" s="16">
        <v>348</v>
      </c>
      <c r="H55" s="17">
        <v>357</v>
      </c>
      <c r="J55" s="40"/>
      <c r="K55" s="40"/>
      <c r="L55" s="40"/>
    </row>
    <row r="56" spans="5:12" ht="13.5" thickBot="1">
      <c r="E56" s="46">
        <v>147</v>
      </c>
      <c r="F56" s="46">
        <v>154</v>
      </c>
      <c r="G56" s="17">
        <v>357</v>
      </c>
      <c r="H56" s="16">
        <v>365</v>
      </c>
      <c r="J56" s="40"/>
      <c r="K56" s="40"/>
      <c r="L56" s="40"/>
    </row>
    <row r="57" spans="5:12" ht="13.5" thickBot="1">
      <c r="E57" s="46">
        <v>154</v>
      </c>
      <c r="F57" s="46">
        <v>162</v>
      </c>
      <c r="G57" s="16">
        <v>365</v>
      </c>
      <c r="H57" s="17">
        <v>374</v>
      </c>
      <c r="J57" s="40"/>
      <c r="K57" s="40"/>
      <c r="L57" s="40"/>
    </row>
    <row r="58" spans="5:12" ht="13.5" thickBot="1">
      <c r="E58" s="46">
        <v>162</v>
      </c>
      <c r="F58" s="46">
        <v>169</v>
      </c>
      <c r="G58" s="17">
        <v>374</v>
      </c>
      <c r="H58" s="16">
        <v>383</v>
      </c>
      <c r="J58" s="40"/>
      <c r="K58" s="40"/>
      <c r="L58" s="40"/>
    </row>
    <row r="59" spans="5:12" ht="13.5" thickBot="1">
      <c r="E59" s="46">
        <v>169</v>
      </c>
      <c r="F59" s="46">
        <v>178</v>
      </c>
      <c r="G59" s="16">
        <v>383</v>
      </c>
      <c r="H59" s="17">
        <v>392</v>
      </c>
      <c r="J59" s="40"/>
      <c r="K59" s="40"/>
      <c r="L59" s="40"/>
    </row>
    <row r="60" spans="5:12" ht="13.5" thickBot="1">
      <c r="E60" s="46">
        <v>178</v>
      </c>
      <c r="F60" s="46">
        <v>187</v>
      </c>
      <c r="G60" s="17">
        <v>392</v>
      </c>
      <c r="H60" s="16">
        <v>402</v>
      </c>
      <c r="J60" s="40"/>
      <c r="K60" s="40"/>
      <c r="L60" s="40"/>
    </row>
    <row r="61" spans="5:12" ht="13.5" thickBot="1">
      <c r="E61" s="46">
        <v>187</v>
      </c>
      <c r="F61" s="46">
        <v>196</v>
      </c>
      <c r="G61" s="16">
        <v>402</v>
      </c>
      <c r="H61" s="17">
        <v>412</v>
      </c>
      <c r="J61" s="40"/>
      <c r="K61" s="40"/>
      <c r="L61" s="40"/>
    </row>
    <row r="62" spans="5:12" ht="13.5" thickBot="1">
      <c r="E62" s="46">
        <v>196</v>
      </c>
      <c r="F62" s="46">
        <v>205</v>
      </c>
      <c r="G62" s="17">
        <v>412</v>
      </c>
      <c r="H62" s="16">
        <v>422</v>
      </c>
      <c r="J62" s="40"/>
      <c r="K62" s="40"/>
      <c r="L62" s="40"/>
    </row>
    <row r="63" spans="5:12" ht="13.5" thickBot="1">
      <c r="E63" s="46">
        <v>205</v>
      </c>
      <c r="F63" s="46">
        <v>215</v>
      </c>
      <c r="G63" s="16">
        <v>422</v>
      </c>
      <c r="H63" s="17">
        <v>432</v>
      </c>
      <c r="J63" s="40"/>
      <c r="K63" s="40"/>
      <c r="L63" s="40"/>
    </row>
    <row r="64" spans="5:12" ht="13.5" thickBot="1">
      <c r="E64" s="46">
        <v>215</v>
      </c>
      <c r="F64" s="46">
        <v>226</v>
      </c>
      <c r="G64" s="17">
        <v>432</v>
      </c>
      <c r="H64" s="16">
        <v>442</v>
      </c>
      <c r="J64" s="40"/>
      <c r="K64" s="40"/>
      <c r="L64" s="40"/>
    </row>
    <row r="65" spans="5:12" ht="13.5" thickBot="1">
      <c r="E65" s="46">
        <v>226</v>
      </c>
      <c r="F65" s="46">
        <v>237</v>
      </c>
      <c r="G65" s="16">
        <v>442</v>
      </c>
      <c r="H65" s="17">
        <v>453</v>
      </c>
      <c r="J65" s="40"/>
      <c r="K65" s="40"/>
      <c r="L65" s="40"/>
    </row>
    <row r="66" spans="5:12" ht="13.5" thickBot="1">
      <c r="E66" s="46">
        <v>237</v>
      </c>
      <c r="F66" s="46">
        <v>249</v>
      </c>
      <c r="G66" s="17">
        <v>453</v>
      </c>
      <c r="H66" s="16">
        <v>464</v>
      </c>
      <c r="J66" s="40"/>
      <c r="K66" s="40"/>
      <c r="L66" s="40"/>
    </row>
    <row r="67" spans="5:12" ht="13.5" thickBot="1">
      <c r="E67" s="46">
        <v>249</v>
      </c>
      <c r="F67" s="46">
        <v>261</v>
      </c>
      <c r="G67" s="16">
        <v>464</v>
      </c>
      <c r="H67" s="17">
        <v>475</v>
      </c>
      <c r="J67" s="40"/>
      <c r="K67" s="40"/>
      <c r="L67" s="40"/>
    </row>
    <row r="68" spans="5:12" ht="13.5" thickBot="1">
      <c r="E68" s="46">
        <v>261</v>
      </c>
      <c r="F68" s="46">
        <v>274</v>
      </c>
      <c r="G68" s="17">
        <v>475</v>
      </c>
      <c r="H68" s="16">
        <v>487</v>
      </c>
      <c r="J68" s="40"/>
      <c r="K68" s="40"/>
      <c r="L68" s="40"/>
    </row>
    <row r="69" spans="5:12" ht="13.5" thickBot="1">
      <c r="E69" s="46">
        <v>274</v>
      </c>
      <c r="F69" s="46">
        <v>287</v>
      </c>
      <c r="G69" s="16">
        <v>487</v>
      </c>
      <c r="H69" s="17">
        <v>499</v>
      </c>
      <c r="J69" s="40"/>
      <c r="K69" s="40"/>
      <c r="L69" s="40"/>
    </row>
    <row r="70" spans="5:12" ht="13.5" thickBot="1">
      <c r="E70" s="46">
        <v>287</v>
      </c>
      <c r="F70" s="46">
        <v>301</v>
      </c>
      <c r="G70" s="17">
        <v>499</v>
      </c>
      <c r="H70" s="16">
        <v>511</v>
      </c>
      <c r="J70" s="40"/>
      <c r="K70" s="40"/>
      <c r="L70" s="40"/>
    </row>
    <row r="71" spans="5:12" ht="13.5" thickBot="1">
      <c r="E71" s="46">
        <v>301</v>
      </c>
      <c r="F71" s="46">
        <v>316</v>
      </c>
      <c r="G71" s="16">
        <v>511</v>
      </c>
      <c r="H71" s="17">
        <v>523</v>
      </c>
      <c r="J71" s="40"/>
      <c r="K71" s="40"/>
      <c r="L71" s="40"/>
    </row>
    <row r="72" spans="5:12" ht="13.5" thickBot="1">
      <c r="E72" s="46">
        <v>316</v>
      </c>
      <c r="F72" s="46">
        <v>332</v>
      </c>
      <c r="G72" s="17">
        <v>523</v>
      </c>
      <c r="H72" s="16">
        <v>536</v>
      </c>
      <c r="J72" s="40"/>
      <c r="K72" s="40"/>
      <c r="L72" s="40"/>
    </row>
    <row r="73" spans="5:12" ht="13.5" thickBot="1">
      <c r="E73" s="46">
        <v>332</v>
      </c>
      <c r="F73" s="46">
        <v>348</v>
      </c>
      <c r="G73" s="16">
        <v>536</v>
      </c>
      <c r="H73" s="17">
        <v>549</v>
      </c>
      <c r="J73" s="40"/>
      <c r="K73" s="40"/>
      <c r="L73" s="40"/>
    </row>
    <row r="74" spans="5:12" ht="13.5" thickBot="1">
      <c r="E74" s="46">
        <v>348</v>
      </c>
      <c r="F74" s="46">
        <v>365</v>
      </c>
      <c r="G74" s="17">
        <v>549</v>
      </c>
      <c r="H74" s="16">
        <v>562</v>
      </c>
      <c r="J74" s="40"/>
      <c r="K74" s="40"/>
      <c r="L74" s="40"/>
    </row>
    <row r="75" spans="5:12" ht="13.5" thickBot="1">
      <c r="E75" s="46">
        <v>365</v>
      </c>
      <c r="F75" s="46">
        <v>383</v>
      </c>
      <c r="G75" s="16">
        <v>562</v>
      </c>
      <c r="H75" s="17">
        <v>576</v>
      </c>
      <c r="J75" s="47"/>
      <c r="K75" s="47"/>
      <c r="L75" s="47"/>
    </row>
    <row r="76" spans="5:12" ht="13.5" thickBot="1">
      <c r="E76" s="46">
        <v>383</v>
      </c>
      <c r="F76" s="46">
        <v>402</v>
      </c>
      <c r="G76" s="17">
        <v>576</v>
      </c>
      <c r="H76" s="16">
        <v>590</v>
      </c>
      <c r="J76" s="47"/>
      <c r="K76" s="47"/>
      <c r="L76" s="47"/>
    </row>
    <row r="77" spans="5:12" ht="13.5" thickBot="1">
      <c r="E77" s="46">
        <v>402</v>
      </c>
      <c r="F77" s="46">
        <v>422</v>
      </c>
      <c r="G77" s="16">
        <v>590</v>
      </c>
      <c r="H77" s="17">
        <v>604</v>
      </c>
      <c r="J77" s="47"/>
      <c r="K77" s="47"/>
      <c r="L77" s="47"/>
    </row>
    <row r="78" spans="5:12" ht="13.5" thickBot="1">
      <c r="E78" s="46">
        <v>422</v>
      </c>
      <c r="F78" s="46">
        <v>442</v>
      </c>
      <c r="G78" s="17">
        <v>604</v>
      </c>
      <c r="H78" s="16">
        <v>619</v>
      </c>
      <c r="J78" s="47"/>
      <c r="K78" s="47"/>
      <c r="L78" s="47"/>
    </row>
    <row r="79" spans="5:12" ht="13.5" thickBot="1">
      <c r="E79" s="46">
        <v>442</v>
      </c>
      <c r="F79" s="46">
        <v>464</v>
      </c>
      <c r="G79" s="16">
        <v>619</v>
      </c>
      <c r="H79" s="17">
        <v>634</v>
      </c>
      <c r="J79" s="47"/>
      <c r="K79" s="47"/>
      <c r="L79" s="47"/>
    </row>
    <row r="80" spans="5:12" ht="13.5" thickBot="1">
      <c r="E80" s="46">
        <v>464</v>
      </c>
      <c r="F80" s="46">
        <v>487</v>
      </c>
      <c r="G80" s="17">
        <v>634</v>
      </c>
      <c r="H80" s="16">
        <v>649</v>
      </c>
      <c r="J80" s="47"/>
      <c r="K80" s="47"/>
      <c r="L80" s="47"/>
    </row>
    <row r="81" spans="5:12" ht="13.5" thickBot="1">
      <c r="E81" s="46">
        <v>487</v>
      </c>
      <c r="F81" s="46">
        <v>511</v>
      </c>
      <c r="G81" s="16">
        <v>649</v>
      </c>
      <c r="H81" s="17">
        <v>665</v>
      </c>
      <c r="J81" s="47"/>
      <c r="K81" s="47"/>
      <c r="L81" s="47"/>
    </row>
    <row r="82" spans="5:12" ht="13.5" thickBot="1">
      <c r="E82" s="46">
        <v>511</v>
      </c>
      <c r="F82" s="46">
        <v>536</v>
      </c>
      <c r="G82" s="17">
        <v>665</v>
      </c>
      <c r="H82" s="16">
        <v>681</v>
      </c>
      <c r="J82" s="47"/>
      <c r="K82" s="47"/>
      <c r="L82" s="47"/>
    </row>
    <row r="83" spans="5:12" ht="13.5" thickBot="1">
      <c r="E83" s="46">
        <v>536</v>
      </c>
      <c r="F83" s="46">
        <v>562</v>
      </c>
      <c r="G83" s="16">
        <v>681</v>
      </c>
      <c r="H83" s="17">
        <v>698</v>
      </c>
      <c r="J83" s="47"/>
      <c r="K83" s="47"/>
      <c r="L83" s="47"/>
    </row>
    <row r="84" spans="5:12" ht="13.5" thickBot="1">
      <c r="E84" s="46">
        <v>562</v>
      </c>
      <c r="F84" s="46">
        <v>590</v>
      </c>
      <c r="G84" s="17">
        <v>698</v>
      </c>
      <c r="H84" s="16">
        <v>715</v>
      </c>
      <c r="J84" s="47"/>
      <c r="K84" s="47"/>
      <c r="L84" s="47"/>
    </row>
    <row r="85" spans="5:12" ht="13.5" thickBot="1">
      <c r="E85" s="46">
        <v>590</v>
      </c>
      <c r="F85" s="46">
        <v>619</v>
      </c>
      <c r="G85" s="16">
        <v>715</v>
      </c>
      <c r="H85" s="17">
        <v>732</v>
      </c>
      <c r="J85" s="47"/>
      <c r="K85" s="47"/>
      <c r="L85" s="47"/>
    </row>
    <row r="86" spans="5:12" ht="13.5" thickBot="1">
      <c r="E86" s="46">
        <v>619</v>
      </c>
      <c r="F86" s="46">
        <v>649</v>
      </c>
      <c r="G86" s="17">
        <v>732</v>
      </c>
      <c r="H86" s="16">
        <v>750</v>
      </c>
      <c r="J86" s="47"/>
      <c r="K86" s="47"/>
      <c r="L86" s="47"/>
    </row>
    <row r="87" spans="5:12" ht="13.5" thickBot="1">
      <c r="E87" s="46">
        <v>649</v>
      </c>
      <c r="F87" s="46">
        <v>681</v>
      </c>
      <c r="G87" s="16">
        <v>750</v>
      </c>
      <c r="H87" s="17">
        <v>768</v>
      </c>
      <c r="J87" s="47"/>
      <c r="K87" s="47"/>
      <c r="L87" s="47"/>
    </row>
    <row r="88" spans="5:12" ht="13.5" thickBot="1">
      <c r="E88" s="46">
        <v>681</v>
      </c>
      <c r="F88" s="46">
        <v>715</v>
      </c>
      <c r="G88" s="17">
        <v>768</v>
      </c>
      <c r="H88" s="16">
        <v>787</v>
      </c>
      <c r="J88" s="47"/>
      <c r="K88" s="47"/>
      <c r="L88" s="47"/>
    </row>
    <row r="89" spans="5:12" ht="13.5" thickBot="1">
      <c r="E89" s="46">
        <v>715</v>
      </c>
      <c r="F89" s="46">
        <v>750</v>
      </c>
      <c r="G89" s="16">
        <v>787</v>
      </c>
      <c r="H89" s="17">
        <v>806</v>
      </c>
      <c r="J89" s="47"/>
      <c r="K89" s="47"/>
      <c r="L89" s="47"/>
    </row>
    <row r="90" spans="5:12" ht="13.5" thickBot="1">
      <c r="E90" s="46">
        <v>750</v>
      </c>
      <c r="F90" s="46">
        <v>787</v>
      </c>
      <c r="G90" s="17">
        <v>806</v>
      </c>
      <c r="H90" s="16">
        <v>825</v>
      </c>
      <c r="J90" s="47"/>
      <c r="K90" s="47"/>
      <c r="L90" s="47"/>
    </row>
    <row r="91" spans="5:12" ht="13.5" thickBot="1">
      <c r="E91" s="46">
        <v>787</v>
      </c>
      <c r="F91" s="46">
        <v>825</v>
      </c>
      <c r="G91" s="16">
        <v>825</v>
      </c>
      <c r="H91" s="17">
        <v>845</v>
      </c>
      <c r="J91" s="47"/>
      <c r="K91" s="47"/>
      <c r="L91" s="47"/>
    </row>
    <row r="92" spans="5:12" ht="13.5" thickBot="1">
      <c r="E92" s="46">
        <v>825</v>
      </c>
      <c r="F92" s="46">
        <v>866</v>
      </c>
      <c r="G92" s="17">
        <v>845</v>
      </c>
      <c r="H92" s="16">
        <v>866</v>
      </c>
      <c r="J92" s="47"/>
      <c r="K92" s="47"/>
      <c r="L92" s="47"/>
    </row>
    <row r="93" spans="5:12" ht="13.5" thickBot="1">
      <c r="E93" s="46">
        <v>866</v>
      </c>
      <c r="F93" s="46">
        <v>909</v>
      </c>
      <c r="G93" s="16">
        <v>866</v>
      </c>
      <c r="H93" s="17">
        <v>887</v>
      </c>
      <c r="J93" s="47"/>
      <c r="K93" s="47"/>
      <c r="L93" s="47"/>
    </row>
    <row r="94" spans="5:12" ht="13.5" thickBot="1">
      <c r="E94" s="46">
        <v>909</v>
      </c>
      <c r="F94" s="46">
        <v>953</v>
      </c>
      <c r="G94" s="17">
        <v>887</v>
      </c>
      <c r="H94" s="16">
        <v>909</v>
      </c>
      <c r="J94" s="47"/>
      <c r="K94" s="47"/>
      <c r="L94" s="47"/>
    </row>
    <row r="95" spans="5:12" ht="13.5" thickBot="1">
      <c r="E95" s="46">
        <v>953</v>
      </c>
      <c r="F95" s="46">
        <v>1000</v>
      </c>
      <c r="G95" s="16">
        <v>909</v>
      </c>
      <c r="H95" s="17">
        <v>931</v>
      </c>
      <c r="J95" s="47"/>
      <c r="K95" s="47"/>
      <c r="L95" s="47"/>
    </row>
    <row r="96" spans="5:12" ht="13.5" thickBot="1">
      <c r="G96" s="17">
        <v>931</v>
      </c>
      <c r="H96" s="16">
        <v>953</v>
      </c>
      <c r="J96" s="47"/>
      <c r="K96" s="47"/>
      <c r="L96" s="47"/>
    </row>
    <row r="97" spans="7:12" ht="13.5" thickBot="1">
      <c r="G97" s="16">
        <v>953</v>
      </c>
      <c r="H97" s="17">
        <v>976</v>
      </c>
      <c r="J97" s="47"/>
      <c r="K97" s="47"/>
      <c r="L97" s="47"/>
    </row>
    <row r="98" spans="7:12" ht="13.5" thickBot="1">
      <c r="G98" s="17">
        <v>976</v>
      </c>
      <c r="H98" s="17">
        <v>1000</v>
      </c>
      <c r="J98" s="47"/>
      <c r="K98" s="47"/>
      <c r="L98" s="47"/>
    </row>
    <row r="99" spans="7:12">
      <c r="J99" s="47"/>
      <c r="K99" s="47"/>
      <c r="L99" s="47"/>
    </row>
    <row r="100" spans="7:12">
      <c r="J100" s="47"/>
      <c r="K100" s="47"/>
      <c r="L100" s="47"/>
    </row>
    <row r="101" spans="7:12">
      <c r="J101" s="47"/>
      <c r="K101" s="47"/>
      <c r="L101" s="47"/>
    </row>
    <row r="102" spans="7:12">
      <c r="J102" s="47"/>
      <c r="K102" s="47"/>
      <c r="L102" s="47"/>
    </row>
    <row r="103" spans="7:12">
      <c r="J103" s="47"/>
      <c r="K103" s="47"/>
      <c r="L103" s="47"/>
    </row>
    <row r="104" spans="7:12">
      <c r="J104" s="47"/>
      <c r="K104" s="47"/>
      <c r="L104" s="47"/>
    </row>
    <row r="105" spans="7:12">
      <c r="J105" s="47"/>
      <c r="K105" s="47"/>
      <c r="L105" s="47"/>
    </row>
    <row r="106" spans="7:12">
      <c r="J106" s="47"/>
      <c r="K106" s="47"/>
      <c r="L106" s="47"/>
    </row>
    <row r="107" spans="7:12">
      <c r="J107" s="47"/>
      <c r="K107" s="47"/>
      <c r="L107" s="47"/>
    </row>
    <row r="108" spans="7:12">
      <c r="J108" s="47"/>
      <c r="K108" s="47"/>
      <c r="L108" s="47"/>
    </row>
    <row r="109" spans="7:12">
      <c r="J109" s="47"/>
      <c r="K109" s="47"/>
      <c r="L109" s="47"/>
    </row>
    <row r="110" spans="7:12">
      <c r="J110" s="47"/>
      <c r="K110" s="47"/>
      <c r="L110" s="47"/>
    </row>
    <row r="111" spans="7:12">
      <c r="J111" s="47"/>
      <c r="K111" s="47"/>
      <c r="L111" s="47"/>
    </row>
    <row r="112" spans="7:12">
      <c r="J112" s="47"/>
      <c r="K112" s="47"/>
      <c r="L112" s="47"/>
    </row>
    <row r="113" spans="10:12">
      <c r="J113" s="47"/>
      <c r="K113" s="47"/>
      <c r="L113" s="47"/>
    </row>
    <row r="114" spans="10:12">
      <c r="J114" s="47"/>
      <c r="K114" s="47"/>
      <c r="L114" s="47"/>
    </row>
    <row r="115" spans="10:12">
      <c r="J115" s="47"/>
      <c r="K115" s="47"/>
      <c r="L115" s="47"/>
    </row>
    <row r="116" spans="10:12">
      <c r="J116" s="47"/>
      <c r="K116" s="47"/>
      <c r="L116" s="47"/>
    </row>
    <row r="117" spans="10:12">
      <c r="J117" s="47"/>
      <c r="K117" s="47"/>
      <c r="L117" s="47"/>
    </row>
    <row r="118" spans="10:12">
      <c r="J118" s="47"/>
      <c r="K118" s="47"/>
      <c r="L118" s="47"/>
    </row>
    <row r="119" spans="10:12">
      <c r="J119" s="47"/>
      <c r="K119" s="47"/>
      <c r="L119" s="47"/>
    </row>
    <row r="120" spans="10:12">
      <c r="J120" s="47"/>
      <c r="K120" s="47"/>
      <c r="L120" s="47"/>
    </row>
    <row r="121" spans="10:12">
      <c r="J121" s="47"/>
      <c r="K121" s="47"/>
      <c r="L121" s="47"/>
    </row>
    <row r="122" spans="10:12">
      <c r="J122" s="47"/>
      <c r="K122" s="47"/>
      <c r="L122" s="47"/>
    </row>
    <row r="123" spans="10:12">
      <c r="J123" s="47"/>
      <c r="K123" s="47"/>
      <c r="L123" s="47"/>
    </row>
    <row r="124" spans="10:12">
      <c r="J124" s="47"/>
      <c r="K124" s="47"/>
      <c r="L124" s="47"/>
    </row>
    <row r="125" spans="10:12">
      <c r="J125" s="47"/>
      <c r="K125" s="47"/>
      <c r="L125" s="47"/>
    </row>
    <row r="126" spans="10:12">
      <c r="J126" s="47"/>
      <c r="K126" s="47"/>
      <c r="L126" s="47"/>
    </row>
    <row r="127" spans="10:12">
      <c r="J127" s="47"/>
      <c r="K127" s="47"/>
      <c r="L127" s="47"/>
    </row>
    <row r="128" spans="10:12">
      <c r="J128" s="47"/>
      <c r="K128" s="47"/>
      <c r="L128" s="47"/>
    </row>
    <row r="129" spans="10:12">
      <c r="J129" s="47"/>
      <c r="K129" s="47"/>
      <c r="L129" s="47"/>
    </row>
    <row r="130" spans="10:12">
      <c r="J130" s="47"/>
      <c r="K130" s="47"/>
      <c r="L130" s="47"/>
    </row>
    <row r="131" spans="10:12">
      <c r="J131" s="47"/>
      <c r="K131" s="47"/>
      <c r="L131" s="47"/>
    </row>
    <row r="132" spans="10:12">
      <c r="J132" s="47"/>
      <c r="K132" s="47"/>
      <c r="L132" s="47"/>
    </row>
    <row r="133" spans="10:12">
      <c r="J133" s="47"/>
      <c r="K133" s="47"/>
      <c r="L133" s="47"/>
    </row>
    <row r="134" spans="10:12">
      <c r="J134" s="47"/>
      <c r="K134" s="47"/>
      <c r="L134" s="47"/>
    </row>
    <row r="135" spans="10:12">
      <c r="J135" s="47"/>
      <c r="K135" s="47"/>
      <c r="L135" s="47"/>
    </row>
    <row r="136" spans="10:12">
      <c r="J136" s="47"/>
      <c r="K136" s="47"/>
      <c r="L136" s="47"/>
    </row>
    <row r="137" spans="10:12">
      <c r="J137" s="47"/>
      <c r="K137" s="47"/>
      <c r="L137" s="47"/>
    </row>
    <row r="138" spans="10:12">
      <c r="J138" s="47"/>
      <c r="K138" s="47"/>
      <c r="L138" s="47"/>
    </row>
    <row r="139" spans="10:12">
      <c r="J139" s="47"/>
      <c r="K139" s="47"/>
      <c r="L139" s="47"/>
    </row>
    <row r="140" spans="10:12">
      <c r="J140" s="47"/>
      <c r="K140" s="47"/>
      <c r="L140" s="47"/>
    </row>
    <row r="141" spans="10:12">
      <c r="J141" s="47"/>
      <c r="K141" s="47"/>
      <c r="L141" s="47"/>
    </row>
    <row r="142" spans="10:12">
      <c r="J142" s="47"/>
      <c r="K142" s="47"/>
      <c r="L142" s="47"/>
    </row>
    <row r="143" spans="10:12">
      <c r="J143" s="47"/>
      <c r="K143" s="47"/>
      <c r="L143" s="47"/>
    </row>
    <row r="144" spans="10:12">
      <c r="J144" s="47"/>
      <c r="K144" s="47"/>
      <c r="L144" s="47"/>
    </row>
    <row r="145" spans="10:12">
      <c r="J145" s="47"/>
      <c r="K145" s="47"/>
      <c r="L145" s="47"/>
    </row>
  </sheetData>
  <mergeCells count="5">
    <mergeCell ref="E47:F47"/>
    <mergeCell ref="E2:F2"/>
    <mergeCell ref="G2:H2"/>
    <mergeCell ref="E9:F9"/>
    <mergeCell ref="E22:F2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96</vt:i4>
      </vt:variant>
    </vt:vector>
  </HeadingPairs>
  <TitlesOfParts>
    <vt:vector size="104" baseType="lpstr">
      <vt:lpstr>Instructions</vt:lpstr>
      <vt:lpstr>Functional Schematic</vt:lpstr>
      <vt:lpstr>Design Information</vt:lpstr>
      <vt:lpstr>Figure of T1 Current</vt:lpstr>
      <vt:lpstr>TABSET Valley Switching</vt:lpstr>
      <vt:lpstr>TCDSET Valley Switching</vt:lpstr>
      <vt:lpstr>Voltage Loop</vt:lpstr>
      <vt:lpstr>Standard R and C Look Up Table</vt:lpstr>
      <vt:lpstr>_imp2</vt:lpstr>
      <vt:lpstr>_ims2</vt:lpstr>
      <vt:lpstr>_ipp1</vt:lpstr>
      <vt:lpstr>_ta1</vt:lpstr>
      <vt:lpstr>_ta11</vt:lpstr>
      <vt:lpstr>_ta2</vt:lpstr>
      <vt:lpstr>_taa1</vt:lpstr>
      <vt:lpstr>_va1</vt:lpstr>
      <vt:lpstr>C_enter</vt:lpstr>
      <vt:lpstr>C_f1</vt:lpstr>
      <vt:lpstr>C_f2</vt:lpstr>
      <vt:lpstr>c_s1</vt:lpstr>
      <vt:lpstr>C_s2</vt:lpstr>
      <vt:lpstr>Center</vt:lpstr>
      <vt:lpstr>constant</vt:lpstr>
      <vt:lpstr>cossqaavg</vt:lpstr>
      <vt:lpstr>cossqaspec</vt:lpstr>
      <vt:lpstr>cossqeavg</vt:lpstr>
      <vt:lpstr>cout</vt:lpstr>
      <vt:lpstr>Cp</vt:lpstr>
      <vt:lpstr>Cstandard</vt:lpstr>
      <vt:lpstr>Cz</vt:lpstr>
      <vt:lpstr>d2a</vt:lpstr>
      <vt:lpstr>dclamp</vt:lpstr>
      <vt:lpstr>dcrlout</vt:lpstr>
      <vt:lpstr>dcrp</vt:lpstr>
      <vt:lpstr>dcrs</vt:lpstr>
      <vt:lpstr>dilmag</vt:lpstr>
      <vt:lpstr>dilout</vt:lpstr>
      <vt:lpstr>dmax</vt:lpstr>
      <vt:lpstr>dtyp</vt:lpstr>
      <vt:lpstr>E12_f</vt:lpstr>
      <vt:lpstr>E12_s</vt:lpstr>
      <vt:lpstr>E24_f</vt:lpstr>
      <vt:lpstr>E24_s</vt:lpstr>
      <vt:lpstr>E48_f</vt:lpstr>
      <vt:lpstr>E48_s</vt:lpstr>
      <vt:lpstr>E6_f</vt:lpstr>
      <vt:lpstr>E6_s</vt:lpstr>
      <vt:lpstr>E96_f</vt:lpstr>
      <vt:lpstr>E96_s</vt:lpstr>
      <vt:lpstr>Eff</vt:lpstr>
      <vt:lpstr>esrcout</vt:lpstr>
      <vt:lpstr>fc</vt:lpstr>
      <vt:lpstr>fpp</vt:lpstr>
      <vt:lpstr>fs</vt:lpstr>
      <vt:lpstr>iloutrms</vt:lpstr>
      <vt:lpstr>imp</vt:lpstr>
      <vt:lpstr>ims</vt:lpstr>
      <vt:lpstr>ipp</vt:lpstr>
      <vt:lpstr>iprms</vt:lpstr>
      <vt:lpstr>iprms1</vt:lpstr>
      <vt:lpstr>iprms2</vt:lpstr>
      <vt:lpstr>ips</vt:lpstr>
      <vt:lpstr>isrms</vt:lpstr>
      <vt:lpstr>isrms1</vt:lpstr>
      <vt:lpstr>isrms2</vt:lpstr>
      <vt:lpstr>isrms3</vt:lpstr>
      <vt:lpstr>llk</vt:lpstr>
      <vt:lpstr>lmag</vt:lpstr>
      <vt:lpstr>lmag1</vt:lpstr>
      <vt:lpstr>lmag2</vt:lpstr>
      <vt:lpstr>lout</vt:lpstr>
      <vt:lpstr>ls</vt:lpstr>
      <vt:lpstr>n1divd1</vt:lpstr>
      <vt:lpstr>pbudget</vt:lpstr>
      <vt:lpstr>pout</vt:lpstr>
      <vt:lpstr>QAg</vt:lpstr>
      <vt:lpstr>qeg</vt:lpstr>
      <vt:lpstr>rdsonqa</vt:lpstr>
      <vt:lpstr>rdsonqe</vt:lpstr>
      <vt:lpstr>rf</vt:lpstr>
      <vt:lpstr>RII</vt:lpstr>
      <vt:lpstr>rload</vt:lpstr>
      <vt:lpstr>RS</vt:lpstr>
      <vt:lpstr>sta</vt:lpstr>
      <vt:lpstr>stb</vt:lpstr>
      <vt:lpstr>tabset</vt:lpstr>
      <vt:lpstr>tafset</vt:lpstr>
      <vt:lpstr>tcdset</vt:lpstr>
      <vt:lpstr>tdelay</vt:lpstr>
      <vt:lpstr>thu</vt:lpstr>
      <vt:lpstr>tr</vt:lpstr>
      <vt:lpstr>vadel</vt:lpstr>
      <vt:lpstr>vdsqe</vt:lpstr>
      <vt:lpstr>vg</vt:lpstr>
      <vt:lpstr>vin</vt:lpstr>
      <vt:lpstr>VINMAX</vt:lpstr>
      <vt:lpstr>VINMIAX</vt:lpstr>
      <vt:lpstr>VINMIN</vt:lpstr>
      <vt:lpstr>VOUT</vt:lpstr>
      <vt:lpstr>voutmin</vt:lpstr>
      <vt:lpstr>vrdson</vt:lpstr>
      <vt:lpstr>Vslope1</vt:lpstr>
      <vt:lpstr>Vslope2</vt:lpstr>
      <vt:lpstr>VTRAN</vt:lpstr>
    </vt:vector>
  </TitlesOfParts>
  <Company>Texas Instruments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O'Loughlin</dc:creator>
  <cp:lastModifiedBy>wlonglu</cp:lastModifiedBy>
  <cp:lastPrinted>2010-06-11T18:34:05Z</cp:lastPrinted>
  <dcterms:created xsi:type="dcterms:W3CDTF">2010-04-19T17:22:29Z</dcterms:created>
  <dcterms:modified xsi:type="dcterms:W3CDTF">2020-06-22T03:11:16Z</dcterms:modified>
</cp:coreProperties>
</file>