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E94C" lockStructure="1"/>
  <bookViews>
    <workbookView xWindow="5700" yWindow="105" windowWidth="5715" windowHeight="8430"/>
  </bookViews>
  <sheets>
    <sheet name="Accuracy" sheetId="1" r:id="rId1"/>
    <sheet name="Thermistor" sheetId="2" state="hidden" r:id="rId2"/>
    <sheet name="Resistor Network" sheetId="3" state="hidden" r:id="rId3"/>
    <sheet name="Digital" sheetId="4" state="hidden" r:id="rId4"/>
    <sheet name="best fit" sheetId="10" state="hidden" r:id="rId5"/>
    <sheet name="Thermistor Database" sheetId="8" r:id="rId6"/>
    <sheet name="Sheet1" sheetId="9" state="hidden" r:id="rId7"/>
    <sheet name="What If" sheetId="11" state="hidden" r:id="rId8"/>
  </sheets>
  <definedNames>
    <definedName name="_xlnm._FilterDatabase" localSheetId="0" hidden="1">Accuracy!$F$4:$F$34</definedName>
    <definedName name="Beta">#REF!</definedName>
    <definedName name="E96Resistor">Sheet1!$G$3:$G$292</definedName>
    <definedName name="R_at_Ref_Temp">#REF!</definedName>
    <definedName name="Ref_Temp">#REF!</definedName>
    <definedName name="solver_adj" localSheetId="3" hidden="1">Digital!$AB$42:$AB$42</definedName>
    <definedName name="solver_cvg" localSheetId="3" hidden="1">0.0001</definedName>
    <definedName name="solver_drv" localSheetId="3" hidden="1">1</definedName>
    <definedName name="solver_est" localSheetId="3" hidden="1">1</definedName>
    <definedName name="solver_itr" localSheetId="3" hidden="1">100</definedName>
    <definedName name="solver_lin" localSheetId="3" hidden="1">2</definedName>
    <definedName name="solver_neg" localSheetId="3" hidden="1">2</definedName>
    <definedName name="solver_num" localSheetId="3" hidden="1">0</definedName>
    <definedName name="solver_nwt" localSheetId="3" hidden="1">1</definedName>
    <definedName name="solver_opt" localSheetId="3" hidden="1">Digital!$AC$42</definedName>
    <definedName name="solver_pre" localSheetId="3" hidden="1">0.000001</definedName>
    <definedName name="solver_scl" localSheetId="3" hidden="1">2</definedName>
    <definedName name="solver_sho" localSheetId="3" hidden="1">2</definedName>
    <definedName name="solver_tim" localSheetId="3" hidden="1">100</definedName>
    <definedName name="solver_tol" localSheetId="3" hidden="1">0.05</definedName>
    <definedName name="solver_typ" localSheetId="3" hidden="1">3</definedName>
    <definedName name="solver_val" localSheetId="3" hidden="1">0</definedName>
    <definedName name="Tolerance">Sheet1!$J$3:$J$12</definedName>
  </definedNames>
  <calcPr calcId="145621"/>
</workbook>
</file>

<file path=xl/calcChain.xml><?xml version="1.0" encoding="utf-8"?>
<calcChain xmlns="http://schemas.openxmlformats.org/spreadsheetml/2006/main">
  <c r="G5" i="10" l="1"/>
  <c r="D5" i="2"/>
  <c r="E48" i="2" s="1"/>
  <c r="F48" i="2" s="1"/>
  <c r="D6" i="2"/>
  <c r="D7" i="2"/>
  <c r="D8" i="2"/>
  <c r="D9" i="2"/>
  <c r="D10" i="2"/>
  <c r="D11" i="2"/>
  <c r="D12" i="2"/>
  <c r="D13" i="2"/>
  <c r="D14" i="2"/>
  <c r="D15" i="2"/>
  <c r="E60" i="2" s="1"/>
  <c r="F60" i="2" s="1"/>
  <c r="D16" i="2"/>
  <c r="D17" i="2"/>
  <c r="D18" i="2"/>
  <c r="D19" i="2"/>
  <c r="D20" i="2"/>
  <c r="D21" i="2"/>
  <c r="D22" i="2"/>
  <c r="K22" i="2" s="1"/>
  <c r="E22" i="10" s="1"/>
  <c r="D23" i="2"/>
  <c r="D24" i="2"/>
  <c r="D25" i="2"/>
  <c r="E61" i="2" s="1"/>
  <c r="F61" i="2" s="1"/>
  <c r="D26" i="2"/>
  <c r="K26" i="2" s="1"/>
  <c r="E26" i="10" s="1"/>
  <c r="D27" i="2"/>
  <c r="D28" i="2"/>
  <c r="D29" i="2"/>
  <c r="D30" i="2"/>
  <c r="K30" i="2" s="1"/>
  <c r="E30" i="10" s="1"/>
  <c r="D31" i="2"/>
  <c r="D32" i="2"/>
  <c r="D33" i="2"/>
  <c r="D34" i="2"/>
  <c r="K34" i="2" s="1"/>
  <c r="E34" i="10" s="1"/>
  <c r="D35" i="2"/>
  <c r="E62" i="2" s="1"/>
  <c r="F62" i="2" s="1"/>
  <c r="D36" i="2"/>
  <c r="D37" i="2"/>
  <c r="D38" i="2"/>
  <c r="D39" i="2"/>
  <c r="D40" i="2"/>
  <c r="H39" i="11"/>
  <c r="J39" i="11"/>
  <c r="K39" i="11"/>
  <c r="L39" i="11"/>
  <c r="M39" i="11"/>
  <c r="H38" i="11"/>
  <c r="J38" i="11"/>
  <c r="K38" i="11"/>
  <c r="L38" i="11"/>
  <c r="M38" i="11"/>
  <c r="H37" i="11"/>
  <c r="J37" i="11"/>
  <c r="K37" i="11"/>
  <c r="L37" i="11"/>
  <c r="M37" i="11"/>
  <c r="H36" i="11"/>
  <c r="J36" i="11"/>
  <c r="K36" i="11"/>
  <c r="L36" i="11"/>
  <c r="M36" i="11"/>
  <c r="H35" i="11"/>
  <c r="J35" i="11"/>
  <c r="K35" i="11"/>
  <c r="L35" i="11"/>
  <c r="M35" i="11"/>
  <c r="H34" i="11"/>
  <c r="J34" i="11" s="1"/>
  <c r="K34" i="11" s="1"/>
  <c r="H33" i="11"/>
  <c r="J33" i="11" s="1"/>
  <c r="K33" i="11" s="1"/>
  <c r="H32" i="11"/>
  <c r="J32" i="11" s="1"/>
  <c r="K32" i="11" s="1"/>
  <c r="H31" i="11"/>
  <c r="J31" i="11" s="1"/>
  <c r="K31" i="11" s="1"/>
  <c r="L31" i="11" s="1"/>
  <c r="H30" i="11"/>
  <c r="J30" i="11" s="1"/>
  <c r="K30" i="11" s="1"/>
  <c r="H29" i="11"/>
  <c r="J29" i="11" s="1"/>
  <c r="K29" i="11" s="1"/>
  <c r="H28" i="11"/>
  <c r="J28" i="11" s="1"/>
  <c r="K28" i="11" s="1"/>
  <c r="H27" i="11"/>
  <c r="J27" i="11" s="1"/>
  <c r="K27" i="11" s="1"/>
  <c r="L27" i="11" s="1"/>
  <c r="H26" i="11"/>
  <c r="J26" i="11" s="1"/>
  <c r="K26" i="11" s="1"/>
  <c r="H25" i="11"/>
  <c r="J25" i="11" s="1"/>
  <c r="K25" i="11" s="1"/>
  <c r="H24" i="11"/>
  <c r="J24" i="11" s="1"/>
  <c r="K24" i="11" s="1"/>
  <c r="L24" i="11" s="1"/>
  <c r="H23" i="11"/>
  <c r="J23" i="11" s="1"/>
  <c r="K23" i="11" s="1"/>
  <c r="L23" i="11" s="1"/>
  <c r="H22" i="11"/>
  <c r="J22" i="11" s="1"/>
  <c r="K22" i="11" s="1"/>
  <c r="H21" i="11"/>
  <c r="J21" i="11" s="1"/>
  <c r="K21" i="11" s="1"/>
  <c r="H20" i="11"/>
  <c r="J20" i="11" s="1"/>
  <c r="K20" i="11" s="1"/>
  <c r="H19" i="11"/>
  <c r="J19" i="11" s="1"/>
  <c r="K19" i="11" s="1"/>
  <c r="L19" i="11" s="1"/>
  <c r="H18" i="11"/>
  <c r="J18" i="11" s="1"/>
  <c r="K18" i="11" s="1"/>
  <c r="H17" i="11"/>
  <c r="J17" i="11" s="1"/>
  <c r="K17" i="11" s="1"/>
  <c r="H16" i="11"/>
  <c r="J16" i="11" s="1"/>
  <c r="K16" i="11" s="1"/>
  <c r="L16" i="11" s="1"/>
  <c r="H15" i="11"/>
  <c r="J15" i="11" s="1"/>
  <c r="K15" i="11" s="1"/>
  <c r="H14" i="11"/>
  <c r="J14" i="11" s="1"/>
  <c r="K14" i="11" s="1"/>
  <c r="L14" i="11" s="1"/>
  <c r="H13" i="11"/>
  <c r="J13" i="11" s="1"/>
  <c r="K13" i="11" s="1"/>
  <c r="H12" i="11"/>
  <c r="J12" i="11" s="1"/>
  <c r="K12" i="11" s="1"/>
  <c r="L12" i="11" s="1"/>
  <c r="H11" i="11"/>
  <c r="J11" i="11" s="1"/>
  <c r="K11" i="11" s="1"/>
  <c r="L11" i="11" s="1"/>
  <c r="H10" i="11"/>
  <c r="J10" i="11" s="1"/>
  <c r="K10" i="11" s="1"/>
  <c r="L10" i="11" s="1"/>
  <c r="H9" i="11"/>
  <c r="J9" i="11" s="1"/>
  <c r="K9" i="11" s="1"/>
  <c r="H8" i="11"/>
  <c r="J8" i="11" s="1"/>
  <c r="K8" i="11" s="1"/>
  <c r="L8" i="11" s="1"/>
  <c r="H7" i="11"/>
  <c r="J7" i="11" s="1"/>
  <c r="K7" i="11" s="1"/>
  <c r="L7" i="11" s="1"/>
  <c r="H6" i="11"/>
  <c r="J6" i="11" s="1"/>
  <c r="K6" i="11" s="1"/>
  <c r="L6" i="11" s="1"/>
  <c r="H5" i="11"/>
  <c r="J5" i="11" s="1"/>
  <c r="K5" i="11" s="1"/>
  <c r="H4" i="11"/>
  <c r="J4" i="11" s="1"/>
  <c r="K4" i="11" s="1"/>
  <c r="G39" i="11"/>
  <c r="R39" i="11"/>
  <c r="G38" i="11"/>
  <c r="R38" i="11"/>
  <c r="G37" i="11"/>
  <c r="R37" i="11"/>
  <c r="G36" i="11"/>
  <c r="R36" i="11"/>
  <c r="G35" i="11"/>
  <c r="R35" i="11"/>
  <c r="G34" i="11"/>
  <c r="R34" i="11"/>
  <c r="G33" i="11"/>
  <c r="R33" i="11"/>
  <c r="G32" i="11"/>
  <c r="R32" i="11"/>
  <c r="G31" i="11"/>
  <c r="R31" i="11"/>
  <c r="G30" i="11"/>
  <c r="R30" i="11"/>
  <c r="G29" i="11"/>
  <c r="R29" i="11"/>
  <c r="G28" i="11"/>
  <c r="R28" i="11"/>
  <c r="G27" i="11"/>
  <c r="R27" i="11"/>
  <c r="G26" i="11"/>
  <c r="R26" i="11"/>
  <c r="G25" i="11"/>
  <c r="R25" i="11"/>
  <c r="G24" i="11"/>
  <c r="R24" i="11"/>
  <c r="G23" i="11"/>
  <c r="R23" i="11"/>
  <c r="G22" i="11"/>
  <c r="R22" i="11"/>
  <c r="G21" i="11"/>
  <c r="R21" i="11"/>
  <c r="G20" i="11"/>
  <c r="R20" i="11"/>
  <c r="G19" i="11"/>
  <c r="R19" i="11"/>
  <c r="G18" i="11"/>
  <c r="R18" i="11"/>
  <c r="G17" i="11"/>
  <c r="R17" i="11"/>
  <c r="G16" i="11"/>
  <c r="R16" i="11"/>
  <c r="G15" i="11"/>
  <c r="R15" i="11"/>
  <c r="G14" i="11"/>
  <c r="R14" i="11"/>
  <c r="G13" i="11"/>
  <c r="R13" i="11"/>
  <c r="G12" i="11"/>
  <c r="R12" i="11"/>
  <c r="G11" i="11"/>
  <c r="R11" i="11"/>
  <c r="G10" i="11"/>
  <c r="R10" i="11"/>
  <c r="G9" i="11"/>
  <c r="R9" i="11"/>
  <c r="G8" i="11"/>
  <c r="R8" i="11"/>
  <c r="G7" i="11"/>
  <c r="R7" i="11"/>
  <c r="G6" i="11"/>
  <c r="R6" i="11"/>
  <c r="G5" i="11"/>
  <c r="R5" i="11"/>
  <c r="G4" i="11"/>
  <c r="R4" i="11"/>
  <c r="C5" i="2"/>
  <c r="D35" i="3"/>
  <c r="AB35" i="3" s="1"/>
  <c r="AB45" i="3" s="1"/>
  <c r="D19" i="3"/>
  <c r="D18" i="10"/>
  <c r="D15" i="3"/>
  <c r="AB15" i="3" s="1"/>
  <c r="D15" i="4" s="1"/>
  <c r="J15" i="4" s="1"/>
  <c r="N15" i="4" s="1"/>
  <c r="D14" i="10"/>
  <c r="D6" i="10"/>
  <c r="I6" i="10"/>
  <c r="I5" i="10"/>
  <c r="D40" i="3"/>
  <c r="D39" i="3"/>
  <c r="D38" i="3"/>
  <c r="D37" i="3"/>
  <c r="D36" i="3"/>
  <c r="D40" i="10"/>
  <c r="D39" i="10"/>
  <c r="D37" i="10"/>
  <c r="D36" i="10"/>
  <c r="C40" i="4"/>
  <c r="C40" i="10"/>
  <c r="AE40" i="10"/>
  <c r="C39" i="4"/>
  <c r="C39" i="10"/>
  <c r="AE39" i="10"/>
  <c r="C38" i="4"/>
  <c r="C38" i="10"/>
  <c r="N38" i="10"/>
  <c r="C37" i="4"/>
  <c r="C37" i="10"/>
  <c r="N37" i="10"/>
  <c r="C36" i="4"/>
  <c r="C36" i="10"/>
  <c r="AE36" i="10"/>
  <c r="C5" i="4"/>
  <c r="C5" i="10"/>
  <c r="AE5" i="10"/>
  <c r="C6" i="4"/>
  <c r="C6" i="10"/>
  <c r="N6" i="10"/>
  <c r="C7" i="4"/>
  <c r="C7" i="10"/>
  <c r="C8" i="4"/>
  <c r="C8" i="10"/>
  <c r="AE8" i="10"/>
  <c r="C9" i="4"/>
  <c r="C9" i="10"/>
  <c r="C10" i="4"/>
  <c r="C10" i="10"/>
  <c r="AE10" i="10"/>
  <c r="C11" i="4"/>
  <c r="C11" i="10"/>
  <c r="N11" i="10"/>
  <c r="C12" i="4"/>
  <c r="C12" i="10"/>
  <c r="AE12" i="10"/>
  <c r="C13" i="4"/>
  <c r="C13" i="10"/>
  <c r="C14" i="4"/>
  <c r="C14" i="10"/>
  <c r="AE14" i="10"/>
  <c r="C15" i="4"/>
  <c r="C15" i="10"/>
  <c r="C16" i="4"/>
  <c r="C16" i="10"/>
  <c r="AE16" i="10"/>
  <c r="C17" i="4"/>
  <c r="C17" i="10"/>
  <c r="C18" i="4"/>
  <c r="C18" i="10"/>
  <c r="AE18" i="10"/>
  <c r="C19" i="4"/>
  <c r="C19" i="10"/>
  <c r="AE19" i="10"/>
  <c r="C20" i="4"/>
  <c r="C20" i="10"/>
  <c r="AE20" i="10"/>
  <c r="C21" i="4"/>
  <c r="C21" i="10"/>
  <c r="C22" i="4"/>
  <c r="C22" i="10"/>
  <c r="AE22" i="10"/>
  <c r="C23" i="4"/>
  <c r="C23" i="10"/>
  <c r="C24" i="4"/>
  <c r="C24" i="10"/>
  <c r="AE24" i="10"/>
  <c r="C25" i="4"/>
  <c r="C25" i="10"/>
  <c r="C26" i="4"/>
  <c r="C26" i="10"/>
  <c r="AE26" i="10"/>
  <c r="C27" i="4"/>
  <c r="C27" i="10"/>
  <c r="N27" i="10"/>
  <c r="C28" i="4"/>
  <c r="C28" i="10"/>
  <c r="AE28" i="10"/>
  <c r="C29" i="4"/>
  <c r="C29" i="10"/>
  <c r="C30" i="4"/>
  <c r="C30" i="10"/>
  <c r="N30" i="10"/>
  <c r="C31" i="4"/>
  <c r="C31" i="10"/>
  <c r="C32" i="4"/>
  <c r="C32" i="10"/>
  <c r="N32" i="10"/>
  <c r="C33" i="4"/>
  <c r="C33" i="10"/>
  <c r="C34" i="4"/>
  <c r="C34" i="10"/>
  <c r="N34" i="10"/>
  <c r="C35" i="4"/>
  <c r="C35" i="10"/>
  <c r="AE35" i="10"/>
  <c r="B5" i="4"/>
  <c r="AA45" i="3"/>
  <c r="D5" i="3"/>
  <c r="AA44" i="3"/>
  <c r="K40" i="3"/>
  <c r="K39" i="3"/>
  <c r="K38" i="3"/>
  <c r="K37" i="3"/>
  <c r="K36" i="3"/>
  <c r="C40" i="3"/>
  <c r="I43" i="3"/>
  <c r="C39" i="3"/>
  <c r="C38" i="3"/>
  <c r="C37" i="3"/>
  <c r="C36" i="3"/>
  <c r="D62" i="2"/>
  <c r="D59" i="2"/>
  <c r="C40" i="2"/>
  <c r="C20" i="2"/>
  <c r="C12" i="2"/>
  <c r="C8" i="2"/>
  <c r="C6" i="2"/>
  <c r="C22" i="2"/>
  <c r="C13" i="2"/>
  <c r="C18" i="2"/>
  <c r="C15" i="2"/>
  <c r="C28" i="2"/>
  <c r="C32" i="2"/>
  <c r="C34" i="2"/>
  <c r="C35" i="2"/>
  <c r="C16" i="2"/>
  <c r="C19" i="2"/>
  <c r="C27" i="2"/>
  <c r="C37" i="2"/>
  <c r="C36" i="2"/>
  <c r="C39" i="2"/>
  <c r="C38" i="2"/>
  <c r="C30" i="2"/>
  <c r="C29" i="2"/>
  <c r="C10" i="2"/>
  <c r="C9" i="2"/>
  <c r="K18" i="3"/>
  <c r="C5" i="3"/>
  <c r="I42" i="3"/>
  <c r="C35" i="3"/>
  <c r="C7" i="2"/>
  <c r="C11" i="2"/>
  <c r="C14" i="2"/>
  <c r="C17" i="2"/>
  <c r="C21" i="2"/>
  <c r="C23" i="2"/>
  <c r="C24" i="2"/>
  <c r="C25" i="2"/>
  <c r="C26" i="2"/>
  <c r="C31" i="2"/>
  <c r="C33" i="2"/>
  <c r="K6" i="3"/>
  <c r="K7" i="3"/>
  <c r="D7" i="3"/>
  <c r="AB7" i="3" s="1"/>
  <c r="D7" i="4" s="1"/>
  <c r="F7" i="10" s="1"/>
  <c r="K8" i="3"/>
  <c r="D8" i="3"/>
  <c r="AB8" i="3" s="1"/>
  <c r="D8" i="4" s="1"/>
  <c r="K9" i="3"/>
  <c r="D9" i="3"/>
  <c r="AB9" i="3" s="1"/>
  <c r="D9" i="4" s="1"/>
  <c r="J9" i="4" s="1"/>
  <c r="N9" i="4" s="1"/>
  <c r="K10" i="3"/>
  <c r="K11" i="3"/>
  <c r="D11" i="3"/>
  <c r="AB11" i="3" s="1"/>
  <c r="D11" i="4" s="1"/>
  <c r="F11" i="10" s="1"/>
  <c r="K12" i="3"/>
  <c r="D12" i="3"/>
  <c r="AB12" i="3" s="1"/>
  <c r="D12" i="4" s="1"/>
  <c r="J12" i="4" s="1"/>
  <c r="N12" i="4" s="1"/>
  <c r="K13" i="3"/>
  <c r="D13" i="3"/>
  <c r="AB13" i="3" s="1"/>
  <c r="D13" i="4" s="1"/>
  <c r="K14" i="3"/>
  <c r="K15" i="3"/>
  <c r="K16" i="3"/>
  <c r="D16" i="3"/>
  <c r="AB16" i="3" s="1"/>
  <c r="D16" i="4" s="1"/>
  <c r="K17" i="3"/>
  <c r="D17" i="3"/>
  <c r="AB17" i="3" s="1"/>
  <c r="D17" i="4" s="1"/>
  <c r="K19" i="3"/>
  <c r="K20" i="3"/>
  <c r="D20" i="3"/>
  <c r="AB20" i="3" s="1"/>
  <c r="D20" i="4" s="1"/>
  <c r="K21" i="3"/>
  <c r="D21" i="3"/>
  <c r="AB21" i="3" s="1"/>
  <c r="D21" i="4" s="1"/>
  <c r="K22" i="3"/>
  <c r="D22" i="3"/>
  <c r="K23" i="3"/>
  <c r="D23" i="3"/>
  <c r="K24" i="3"/>
  <c r="D24" i="3"/>
  <c r="K25" i="3"/>
  <c r="D25" i="3"/>
  <c r="K26" i="3"/>
  <c r="D26" i="3"/>
  <c r="K27" i="3"/>
  <c r="D27" i="3"/>
  <c r="K28" i="3"/>
  <c r="D28" i="3"/>
  <c r="K29" i="3"/>
  <c r="D29" i="3"/>
  <c r="AB29" i="3" s="1"/>
  <c r="D29" i="4" s="1"/>
  <c r="K30" i="3"/>
  <c r="D30" i="3"/>
  <c r="AB30" i="3" s="1"/>
  <c r="D30" i="4" s="1"/>
  <c r="F30" i="10" s="1"/>
  <c r="K31" i="3"/>
  <c r="D31" i="3"/>
  <c r="K32" i="3"/>
  <c r="D32" i="3"/>
  <c r="AB32" i="3" s="1"/>
  <c r="D32" i="4" s="1"/>
  <c r="F32" i="10" s="1"/>
  <c r="K33" i="3"/>
  <c r="D33" i="3"/>
  <c r="AB33" i="3" s="1"/>
  <c r="D33" i="4" s="1"/>
  <c r="K34" i="3"/>
  <c r="K35" i="3"/>
  <c r="K5" i="3"/>
  <c r="N35" i="10"/>
  <c r="D7" i="10"/>
  <c r="D8" i="10"/>
  <c r="D9" i="10"/>
  <c r="D11" i="10"/>
  <c r="D12" i="10"/>
  <c r="D13" i="10"/>
  <c r="D15" i="10"/>
  <c r="D16" i="10"/>
  <c r="D17" i="10"/>
  <c r="D19" i="10"/>
  <c r="D20" i="10"/>
  <c r="D21" i="10"/>
  <c r="D23" i="10"/>
  <c r="D24" i="10"/>
  <c r="D25" i="10"/>
  <c r="D27" i="10"/>
  <c r="D28" i="10"/>
  <c r="D29" i="10"/>
  <c r="D31" i="10"/>
  <c r="D32" i="10"/>
  <c r="D33" i="10"/>
  <c r="D35" i="10"/>
  <c r="D5" i="10"/>
  <c r="D4" i="10"/>
  <c r="E4" i="10"/>
  <c r="C4" i="10"/>
  <c r="D3" i="9"/>
  <c r="G291" i="9"/>
  <c r="D98" i="9"/>
  <c r="G290" i="9"/>
  <c r="D97" i="9"/>
  <c r="G289" i="9"/>
  <c r="D96" i="9"/>
  <c r="G288" i="9"/>
  <c r="D95" i="9"/>
  <c r="G287" i="9"/>
  <c r="D94" i="9"/>
  <c r="G286" i="9"/>
  <c r="D93" i="9"/>
  <c r="G285" i="9"/>
  <c r="D92" i="9"/>
  <c r="G284" i="9"/>
  <c r="D91" i="9"/>
  <c r="G283" i="9"/>
  <c r="D90" i="9"/>
  <c r="G282" i="9"/>
  <c r="D89" i="9"/>
  <c r="G185" i="9"/>
  <c r="G281" i="9"/>
  <c r="D88" i="9"/>
  <c r="G280" i="9"/>
  <c r="D87" i="9"/>
  <c r="G279" i="9"/>
  <c r="D86" i="9"/>
  <c r="G278" i="9"/>
  <c r="D85" i="9"/>
  <c r="G277" i="9"/>
  <c r="D84" i="9"/>
  <c r="G276" i="9"/>
  <c r="D83" i="9"/>
  <c r="G83" i="9"/>
  <c r="G275" i="9"/>
  <c r="D82" i="9"/>
  <c r="G274" i="9"/>
  <c r="D81" i="9"/>
  <c r="G273" i="9"/>
  <c r="D80" i="9"/>
  <c r="G272" i="9"/>
  <c r="D79" i="9"/>
  <c r="G79" i="9"/>
  <c r="G271" i="9"/>
  <c r="D78" i="9"/>
  <c r="G270" i="9"/>
  <c r="D77" i="9"/>
  <c r="G269" i="9"/>
  <c r="D76" i="9"/>
  <c r="G268" i="9"/>
  <c r="D75" i="9"/>
  <c r="G75" i="9"/>
  <c r="G267" i="9"/>
  <c r="D74" i="9"/>
  <c r="G266" i="9"/>
  <c r="D73" i="9"/>
  <c r="G265" i="9"/>
  <c r="D72" i="9"/>
  <c r="D71" i="9"/>
  <c r="G71" i="9"/>
  <c r="G263" i="9"/>
  <c r="D70" i="9"/>
  <c r="G262" i="9"/>
  <c r="D69" i="9"/>
  <c r="G261" i="9"/>
  <c r="D68" i="9"/>
  <c r="G68" i="9"/>
  <c r="D67" i="9"/>
  <c r="G67" i="9"/>
  <c r="G259" i="9"/>
  <c r="D66" i="9"/>
  <c r="G258" i="9"/>
  <c r="D65" i="9"/>
  <c r="G161" i="9"/>
  <c r="G257" i="9"/>
  <c r="D64" i="9"/>
  <c r="D63" i="9"/>
  <c r="G63" i="9"/>
  <c r="G255" i="9"/>
  <c r="D62" i="9"/>
  <c r="G254" i="9"/>
  <c r="D61" i="9"/>
  <c r="G61" i="9"/>
  <c r="D60" i="9"/>
  <c r="D59" i="9"/>
  <c r="G59" i="9"/>
  <c r="G251" i="9"/>
  <c r="D58" i="9"/>
  <c r="G250" i="9"/>
  <c r="D57" i="9"/>
  <c r="G57" i="9"/>
  <c r="G249" i="9"/>
  <c r="D56" i="9"/>
  <c r="D55" i="9"/>
  <c r="G55" i="9"/>
  <c r="G247" i="9"/>
  <c r="D54" i="9"/>
  <c r="G246" i="9"/>
  <c r="D53" i="9"/>
  <c r="G149" i="9"/>
  <c r="D52" i="9"/>
  <c r="G52" i="9"/>
  <c r="D51" i="9"/>
  <c r="G51" i="9"/>
  <c r="G243" i="9"/>
  <c r="D50" i="9"/>
  <c r="G242" i="9"/>
  <c r="D49" i="9"/>
  <c r="G145" i="9"/>
  <c r="G241" i="9"/>
  <c r="D48" i="9"/>
  <c r="D47" i="9"/>
  <c r="G47" i="9"/>
  <c r="G239" i="9"/>
  <c r="D46" i="9"/>
  <c r="G238" i="9"/>
  <c r="D45" i="9"/>
  <c r="G45" i="9"/>
  <c r="D44" i="9"/>
  <c r="G236" i="9"/>
  <c r="D43" i="9"/>
  <c r="G235" i="9"/>
  <c r="D42" i="9"/>
  <c r="G234" i="9"/>
  <c r="D41" i="9"/>
  <c r="G41" i="9"/>
  <c r="G233" i="9"/>
  <c r="D40" i="9"/>
  <c r="G232" i="9"/>
  <c r="D39" i="9"/>
  <c r="G39" i="9"/>
  <c r="G231" i="9"/>
  <c r="D38" i="9"/>
  <c r="G230" i="9"/>
  <c r="D37" i="9"/>
  <c r="G133" i="9"/>
  <c r="D36" i="9"/>
  <c r="G228" i="9"/>
  <c r="D35" i="9"/>
  <c r="G227" i="9"/>
  <c r="D34" i="9"/>
  <c r="G226" i="9"/>
  <c r="D33" i="9"/>
  <c r="G225" i="9"/>
  <c r="D32" i="9"/>
  <c r="G224" i="9"/>
  <c r="D31" i="9"/>
  <c r="G223" i="9"/>
  <c r="D30" i="9"/>
  <c r="D29" i="9"/>
  <c r="G221" i="9"/>
  <c r="D28" i="9"/>
  <c r="G220" i="9"/>
  <c r="D27" i="9"/>
  <c r="G123" i="9"/>
  <c r="G219" i="9"/>
  <c r="D26" i="9"/>
  <c r="G218" i="9"/>
  <c r="D25" i="9"/>
  <c r="G25" i="9"/>
  <c r="D24" i="9"/>
  <c r="D23" i="9"/>
  <c r="D22" i="9"/>
  <c r="D21" i="9"/>
  <c r="G117" i="9"/>
  <c r="D20" i="9"/>
  <c r="G116" i="9"/>
  <c r="G212" i="9"/>
  <c r="D19" i="9"/>
  <c r="G211" i="9"/>
  <c r="D18" i="9"/>
  <c r="G18" i="9"/>
  <c r="G114" i="9"/>
  <c r="D17" i="9"/>
  <c r="D16" i="9"/>
  <c r="D15" i="9"/>
  <c r="D14" i="9"/>
  <c r="G206" i="9"/>
  <c r="D13" i="9"/>
  <c r="G205" i="9"/>
  <c r="D12" i="9"/>
  <c r="G204" i="9"/>
  <c r="D11" i="9"/>
  <c r="G203" i="9"/>
  <c r="D10" i="9"/>
  <c r="G106" i="9"/>
  <c r="D9" i="9"/>
  <c r="G9" i="9"/>
  <c r="D8" i="9"/>
  <c r="D7" i="9"/>
  <c r="D6" i="9"/>
  <c r="G102" i="9"/>
  <c r="D5" i="9"/>
  <c r="D4" i="9"/>
  <c r="G196" i="9"/>
  <c r="G195" i="9"/>
  <c r="G194" i="9"/>
  <c r="G193" i="9"/>
  <c r="G192" i="9"/>
  <c r="G191" i="9"/>
  <c r="G190" i="9"/>
  <c r="G189" i="9"/>
  <c r="G188" i="9"/>
  <c r="G187" i="9"/>
  <c r="G186" i="9"/>
  <c r="G183" i="9"/>
  <c r="G182" i="9"/>
  <c r="G181" i="9"/>
  <c r="G179" i="9"/>
  <c r="G178" i="9"/>
  <c r="G177" i="9"/>
  <c r="G175" i="9"/>
  <c r="G174" i="9"/>
  <c r="G173" i="9"/>
  <c r="G171" i="9"/>
  <c r="G170" i="9"/>
  <c r="G169" i="9"/>
  <c r="G167" i="9"/>
  <c r="G165" i="9"/>
  <c r="G163" i="9"/>
  <c r="G162" i="9"/>
  <c r="G159" i="9"/>
  <c r="G158" i="9"/>
  <c r="G157" i="9"/>
  <c r="G154" i="9"/>
  <c r="G153" i="9"/>
  <c r="G151" i="9"/>
  <c r="G147" i="9"/>
  <c r="G146" i="9"/>
  <c r="G143" i="9"/>
  <c r="G142" i="9"/>
  <c r="G141" i="9"/>
  <c r="G138" i="9"/>
  <c r="G135" i="9"/>
  <c r="G134" i="9"/>
  <c r="G130" i="9"/>
  <c r="G127" i="9"/>
  <c r="G126" i="9"/>
  <c r="G122" i="9"/>
  <c r="G118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2" i="9"/>
  <c r="G81" i="9"/>
  <c r="G80" i="9"/>
  <c r="G78" i="9"/>
  <c r="G77" i="9"/>
  <c r="G76" i="9"/>
  <c r="G74" i="9"/>
  <c r="G73" i="9"/>
  <c r="G70" i="9"/>
  <c r="G69" i="9"/>
  <c r="G66" i="9"/>
  <c r="G65" i="9"/>
  <c r="G64" i="9"/>
  <c r="G60" i="9"/>
  <c r="G58" i="9"/>
  <c r="G54" i="9"/>
  <c r="G53" i="9"/>
  <c r="G50" i="9"/>
  <c r="G49" i="9"/>
  <c r="G48" i="9"/>
  <c r="G44" i="9"/>
  <c r="G42" i="9"/>
  <c r="G38" i="9"/>
  <c r="G37" i="9"/>
  <c r="G34" i="9"/>
  <c r="G33" i="9"/>
  <c r="G31" i="9"/>
  <c r="G27" i="9"/>
  <c r="G26" i="9"/>
  <c r="G23" i="9"/>
  <c r="G19" i="9"/>
  <c r="G17" i="9"/>
  <c r="G11" i="9"/>
  <c r="G10" i="9"/>
  <c r="G3" i="9"/>
  <c r="L2" i="4"/>
  <c r="D4" i="4"/>
  <c r="E4" i="4"/>
  <c r="F4" i="4"/>
  <c r="C6" i="3"/>
  <c r="C7" i="3"/>
  <c r="C8" i="3"/>
  <c r="C9" i="3"/>
  <c r="C20" i="3"/>
  <c r="C12" i="3"/>
  <c r="C10" i="3"/>
  <c r="C11" i="3"/>
  <c r="C13" i="3"/>
  <c r="C14" i="3"/>
  <c r="C15" i="3"/>
  <c r="C16" i="3"/>
  <c r="C17" i="3"/>
  <c r="C18" i="3"/>
  <c r="C19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E4" i="3"/>
  <c r="F4" i="3"/>
  <c r="H13" i="2"/>
  <c r="N16" i="10"/>
  <c r="AE34" i="10"/>
  <c r="N18" i="10"/>
  <c r="D34" i="10"/>
  <c r="D26" i="10"/>
  <c r="D34" i="3"/>
  <c r="AB34" i="3" s="1"/>
  <c r="D34" i="4" s="1"/>
  <c r="D14" i="3"/>
  <c r="AB14" i="3" s="1"/>
  <c r="D14" i="4" s="1"/>
  <c r="D10" i="3"/>
  <c r="D6" i="3"/>
  <c r="AB6" i="3" s="1"/>
  <c r="D6" i="4" s="1"/>
  <c r="D18" i="3"/>
  <c r="AB18" i="3" s="1"/>
  <c r="D18" i="4" s="1"/>
  <c r="D38" i="10"/>
  <c r="D10" i="10"/>
  <c r="D30" i="10"/>
  <c r="D22" i="10"/>
  <c r="G115" i="9"/>
  <c r="G101" i="9"/>
  <c r="G201" i="9"/>
  <c r="G109" i="9"/>
  <c r="G209" i="9"/>
  <c r="G113" i="9"/>
  <c r="G217" i="9"/>
  <c r="G121" i="9"/>
  <c r="G15" i="9"/>
  <c r="G103" i="9"/>
  <c r="G4" i="9"/>
  <c r="G12" i="9"/>
  <c r="G20" i="9"/>
  <c r="G100" i="9"/>
  <c r="G108" i="9"/>
  <c r="G124" i="9"/>
  <c r="G132" i="9"/>
  <c r="G140" i="9"/>
  <c r="G184" i="9"/>
  <c r="G198" i="9"/>
  <c r="G202" i="9"/>
  <c r="G210" i="9"/>
  <c r="G129" i="9"/>
  <c r="G137" i="9"/>
  <c r="J5" i="10"/>
  <c r="AE37" i="10"/>
  <c r="N20" i="10"/>
  <c r="I44" i="3"/>
  <c r="I14" i="3"/>
  <c r="AE38" i="10"/>
  <c r="N22" i="10"/>
  <c r="N26" i="10"/>
  <c r="A42" i="10"/>
  <c r="S20" i="10"/>
  <c r="T20" i="10"/>
  <c r="N10" i="10"/>
  <c r="I24" i="3"/>
  <c r="N40" i="10"/>
  <c r="N14" i="10"/>
  <c r="AE30" i="10"/>
  <c r="AE32" i="10"/>
  <c r="N14" i="3"/>
  <c r="L14" i="3"/>
  <c r="N24" i="10"/>
  <c r="K5" i="10"/>
  <c r="N36" i="10"/>
  <c r="N8" i="10"/>
  <c r="L6" i="10"/>
  <c r="N39" i="10"/>
  <c r="N12" i="10"/>
  <c r="N28" i="10"/>
  <c r="AE27" i="10"/>
  <c r="O14" i="3"/>
  <c r="M14" i="3"/>
  <c r="I38" i="3"/>
  <c r="O38" i="3"/>
  <c r="I7" i="3"/>
  <c r="I13" i="3"/>
  <c r="I20" i="3"/>
  <c r="I28" i="3"/>
  <c r="I19" i="3"/>
  <c r="I32" i="3"/>
  <c r="AA6" i="10"/>
  <c r="G125" i="9"/>
  <c r="G136" i="9"/>
  <c r="G28" i="9"/>
  <c r="G105" i="9"/>
  <c r="G29" i="9"/>
  <c r="G36" i="9"/>
  <c r="G46" i="9"/>
  <c r="G62" i="9"/>
  <c r="G107" i="9"/>
  <c r="G150" i="9"/>
  <c r="G155" i="9"/>
  <c r="G166" i="9"/>
  <c r="G229" i="9"/>
  <c r="G237" i="9"/>
  <c r="G245" i="9"/>
  <c r="G253" i="9"/>
  <c r="G240" i="9"/>
  <c r="G144" i="9"/>
  <c r="G264" i="9"/>
  <c r="G168" i="9"/>
  <c r="AE23" i="10"/>
  <c r="N23" i="10"/>
  <c r="N15" i="10"/>
  <c r="AE15" i="10"/>
  <c r="AE7" i="10"/>
  <c r="N7" i="10"/>
  <c r="G248" i="9"/>
  <c r="G152" i="9"/>
  <c r="G256" i="9"/>
  <c r="G160" i="9"/>
  <c r="N31" i="10"/>
  <c r="AE31" i="10"/>
  <c r="J6" i="10"/>
  <c r="G128" i="9"/>
  <c r="G222" i="9"/>
  <c r="G30" i="9"/>
  <c r="G131" i="9"/>
  <c r="G35" i="9"/>
  <c r="G139" i="9"/>
  <c r="G43" i="9"/>
  <c r="N19" i="10"/>
  <c r="AE11" i="10"/>
  <c r="G32" i="9"/>
  <c r="G40" i="9"/>
  <c r="G56" i="9"/>
  <c r="G72" i="9"/>
  <c r="G244" i="9"/>
  <c r="G148" i="9"/>
  <c r="G252" i="9"/>
  <c r="G156" i="9"/>
  <c r="G260" i="9"/>
  <c r="G164" i="9"/>
  <c r="H5" i="4"/>
  <c r="G172" i="9"/>
  <c r="G176" i="9"/>
  <c r="G180" i="9"/>
  <c r="M38" i="3"/>
  <c r="L38" i="3"/>
  <c r="S16" i="10"/>
  <c r="T16" i="10"/>
  <c r="S32" i="10"/>
  <c r="T32" i="10"/>
  <c r="S19" i="10"/>
  <c r="T19" i="10"/>
  <c r="S6" i="10"/>
  <c r="T6" i="10"/>
  <c r="S22" i="10"/>
  <c r="T22" i="10"/>
  <c r="S38" i="10"/>
  <c r="T38" i="10"/>
  <c r="S5" i="10"/>
  <c r="T5" i="10"/>
  <c r="S21" i="10"/>
  <c r="T21" i="10"/>
  <c r="S9" i="10"/>
  <c r="T9" i="10"/>
  <c r="G197" i="9"/>
  <c r="G5" i="9"/>
  <c r="G199" i="9"/>
  <c r="G7" i="9"/>
  <c r="G110" i="9"/>
  <c r="G14" i="9"/>
  <c r="G208" i="9"/>
  <c r="G16" i="9"/>
  <c r="G112" i="9"/>
  <c r="G213" i="9"/>
  <c r="G21" i="9"/>
  <c r="G215" i="9"/>
  <c r="G119" i="9"/>
  <c r="D49" i="2"/>
  <c r="G59" i="2"/>
  <c r="D61" i="2"/>
  <c r="AE6" i="10"/>
  <c r="AB6" i="10"/>
  <c r="G6" i="9"/>
  <c r="G13" i="9"/>
  <c r="I40" i="3"/>
  <c r="I25" i="3"/>
  <c r="I12" i="3"/>
  <c r="I23" i="3"/>
  <c r="I8" i="3"/>
  <c r="I17" i="3"/>
  <c r="L17" i="3"/>
  <c r="I27" i="3"/>
  <c r="I29" i="3"/>
  <c r="G200" i="9"/>
  <c r="G8" i="9"/>
  <c r="G104" i="9"/>
  <c r="G207" i="9"/>
  <c r="G111" i="9"/>
  <c r="G214" i="9"/>
  <c r="G22" i="9"/>
  <c r="G216" i="9"/>
  <c r="G24" i="9"/>
  <c r="G120" i="9"/>
  <c r="AE33" i="10"/>
  <c r="N33" i="10"/>
  <c r="AE29" i="10"/>
  <c r="N29" i="10"/>
  <c r="AE25" i="10"/>
  <c r="N25" i="10"/>
  <c r="AE21" i="10"/>
  <c r="N21" i="10"/>
  <c r="AE17" i="10"/>
  <c r="N17" i="10"/>
  <c r="AE13" i="10"/>
  <c r="N13" i="10"/>
  <c r="AE9" i="10"/>
  <c r="N9" i="10"/>
  <c r="N5" i="10"/>
  <c r="AA5" i="10"/>
  <c r="K6" i="10"/>
  <c r="AB5" i="10"/>
  <c r="L5" i="10"/>
  <c r="I37" i="3"/>
  <c r="I36" i="3"/>
  <c r="I6" i="3"/>
  <c r="I21" i="3"/>
  <c r="I10" i="3"/>
  <c r="I26" i="3"/>
  <c r="I22" i="3"/>
  <c r="I16" i="3"/>
  <c r="I30" i="3"/>
  <c r="I15" i="3"/>
  <c r="I18" i="3"/>
  <c r="I35" i="3"/>
  <c r="I33" i="3"/>
  <c r="I9" i="3"/>
  <c r="I5" i="3"/>
  <c r="I11" i="3"/>
  <c r="I34" i="3"/>
  <c r="I31" i="3"/>
  <c r="I39" i="3"/>
  <c r="G62" i="2"/>
  <c r="D60" i="2"/>
  <c r="D44" i="2"/>
  <c r="D50" i="2"/>
  <c r="D48" i="2"/>
  <c r="S39" i="10"/>
  <c r="T39" i="10"/>
  <c r="S18" i="10"/>
  <c r="T18" i="10"/>
  <c r="S15" i="10"/>
  <c r="T15" i="10"/>
  <c r="S12" i="10"/>
  <c r="T12" i="10"/>
  <c r="L24" i="3"/>
  <c r="S37" i="10"/>
  <c r="T37" i="10"/>
  <c r="S29" i="10"/>
  <c r="T29" i="10"/>
  <c r="S33" i="10"/>
  <c r="T33" i="10"/>
  <c r="S30" i="10"/>
  <c r="T30" i="10"/>
  <c r="S14" i="10"/>
  <c r="T14" i="10"/>
  <c r="S27" i="10"/>
  <c r="T27" i="10"/>
  <c r="S11" i="10"/>
  <c r="T11" i="10"/>
  <c r="S24" i="10"/>
  <c r="T24" i="10"/>
  <c r="S8" i="10"/>
  <c r="T8" i="10"/>
  <c r="O24" i="3"/>
  <c r="S25" i="10"/>
  <c r="T25" i="10"/>
  <c r="S36" i="10"/>
  <c r="T36" i="10"/>
  <c r="S34" i="10"/>
  <c r="T34" i="10"/>
  <c r="S31" i="10"/>
  <c r="T31" i="10"/>
  <c r="S28" i="10"/>
  <c r="T28" i="10"/>
  <c r="M24" i="3"/>
  <c r="N24" i="3"/>
  <c r="S40" i="10"/>
  <c r="T40" i="10"/>
  <c r="S35" i="10"/>
  <c r="T35" i="10"/>
  <c r="S13" i="10"/>
  <c r="T13" i="10"/>
  <c r="S17" i="10"/>
  <c r="T17" i="10"/>
  <c r="S26" i="10"/>
  <c r="T26" i="10"/>
  <c r="S10" i="10"/>
  <c r="T10" i="10"/>
  <c r="S23" i="10"/>
  <c r="T23" i="10"/>
  <c r="S7" i="10"/>
  <c r="T7" i="10"/>
  <c r="N38" i="3"/>
  <c r="N20" i="3"/>
  <c r="L20" i="3"/>
  <c r="M20" i="3"/>
  <c r="O20" i="3"/>
  <c r="N32" i="3"/>
  <c r="O32" i="3"/>
  <c r="L32" i="3"/>
  <c r="M32" i="3"/>
  <c r="O13" i="3"/>
  <c r="N13" i="3"/>
  <c r="M13" i="3"/>
  <c r="L13" i="3"/>
  <c r="N19" i="3"/>
  <c r="L19" i="3"/>
  <c r="M19" i="3"/>
  <c r="O19" i="3"/>
  <c r="N7" i="3"/>
  <c r="O7" i="3"/>
  <c r="L7" i="3"/>
  <c r="M7" i="3"/>
  <c r="N28" i="3"/>
  <c r="O28" i="3"/>
  <c r="L28" i="3"/>
  <c r="M28" i="3"/>
  <c r="M27" i="3"/>
  <c r="L27" i="3"/>
  <c r="O27" i="3"/>
  <c r="N27" i="3"/>
  <c r="N8" i="3"/>
  <c r="L8" i="3"/>
  <c r="O8" i="3"/>
  <c r="M8" i="3"/>
  <c r="N12" i="3"/>
  <c r="L12" i="3"/>
  <c r="O12" i="3"/>
  <c r="M12" i="3"/>
  <c r="O40" i="3"/>
  <c r="N40" i="3"/>
  <c r="M40" i="3"/>
  <c r="L40" i="3"/>
  <c r="G61" i="2"/>
  <c r="L29" i="3"/>
  <c r="O29" i="3"/>
  <c r="M29" i="3"/>
  <c r="N29" i="3"/>
  <c r="N17" i="3"/>
  <c r="M17" i="3"/>
  <c r="O17" i="3"/>
  <c r="M23" i="3"/>
  <c r="O23" i="3"/>
  <c r="N23" i="3"/>
  <c r="L23" i="3"/>
  <c r="M25" i="3"/>
  <c r="L25" i="3"/>
  <c r="N25" i="3"/>
  <c r="O25" i="3"/>
  <c r="G49" i="2"/>
  <c r="G48" i="2"/>
  <c r="G60" i="2"/>
  <c r="L39" i="3"/>
  <c r="M39" i="3"/>
  <c r="O39" i="3"/>
  <c r="N39" i="3"/>
  <c r="O34" i="3"/>
  <c r="M34" i="3"/>
  <c r="L34" i="3"/>
  <c r="N34" i="3"/>
  <c r="M5" i="3"/>
  <c r="L5" i="3"/>
  <c r="O5" i="3"/>
  <c r="N5" i="3"/>
  <c r="L33" i="3"/>
  <c r="M33" i="3"/>
  <c r="O33" i="3"/>
  <c r="N33" i="3"/>
  <c r="N18" i="3"/>
  <c r="L18" i="3"/>
  <c r="O18" i="3"/>
  <c r="M18" i="3"/>
  <c r="O30" i="3"/>
  <c r="M30" i="3"/>
  <c r="L30" i="3"/>
  <c r="N30" i="3"/>
  <c r="N22" i="3"/>
  <c r="L22" i="3"/>
  <c r="O22" i="3"/>
  <c r="M22" i="3"/>
  <c r="N10" i="3"/>
  <c r="L10" i="3"/>
  <c r="O10" i="3"/>
  <c r="M10" i="3"/>
  <c r="O6" i="3"/>
  <c r="L6" i="3"/>
  <c r="M6" i="3"/>
  <c r="N6" i="3"/>
  <c r="O37" i="3"/>
  <c r="L37" i="3"/>
  <c r="N37" i="3"/>
  <c r="M37" i="3"/>
  <c r="G50" i="2"/>
  <c r="O26" i="2"/>
  <c r="M31" i="3"/>
  <c r="L31" i="3"/>
  <c r="O31" i="3"/>
  <c r="N31" i="3"/>
  <c r="L11" i="3"/>
  <c r="M11" i="3"/>
  <c r="N11" i="3"/>
  <c r="O11" i="3"/>
  <c r="N9" i="3"/>
  <c r="L9" i="3"/>
  <c r="M9" i="3"/>
  <c r="O9" i="3"/>
  <c r="L35" i="3"/>
  <c r="M35" i="3"/>
  <c r="N35" i="3"/>
  <c r="O35" i="3"/>
  <c r="N15" i="3"/>
  <c r="O15" i="3"/>
  <c r="L15" i="3"/>
  <c r="M15" i="3"/>
  <c r="N16" i="3"/>
  <c r="L16" i="3"/>
  <c r="O16" i="3"/>
  <c r="M16" i="3"/>
  <c r="L26" i="3"/>
  <c r="O26" i="3"/>
  <c r="M26" i="3"/>
  <c r="N26" i="3"/>
  <c r="L21" i="3"/>
  <c r="O21" i="3"/>
  <c r="N21" i="3"/>
  <c r="M21" i="3"/>
  <c r="M36" i="3"/>
  <c r="N36" i="3"/>
  <c r="L36" i="3"/>
  <c r="O36" i="3"/>
  <c r="Q15" i="3"/>
  <c r="Q22" i="3"/>
  <c r="P28" i="3"/>
  <c r="Q9" i="3"/>
  <c r="Q10" i="3"/>
  <c r="Q33" i="3"/>
  <c r="Q25" i="3"/>
  <c r="Q7" i="3"/>
  <c r="P20" i="3"/>
  <c r="P30" i="3"/>
  <c r="Q34" i="3"/>
  <c r="Q19" i="3"/>
  <c r="P13" i="3"/>
  <c r="Q24" i="3"/>
  <c r="Q38" i="3"/>
  <c r="Q14" i="3"/>
  <c r="P34" i="3"/>
  <c r="P32" i="3"/>
  <c r="P9" i="3"/>
  <c r="P36" i="3"/>
  <c r="P26" i="3"/>
  <c r="Q16" i="3"/>
  <c r="Q35" i="3"/>
  <c r="Q31" i="3"/>
  <c r="Q6" i="3"/>
  <c r="P22" i="3"/>
  <c r="P5" i="3"/>
  <c r="P39" i="3"/>
  <c r="P23" i="3"/>
  <c r="P40" i="3"/>
  <c r="Q12" i="3"/>
  <c r="P8" i="3"/>
  <c r="Q30" i="3"/>
  <c r="P6" i="3"/>
  <c r="P21" i="3"/>
  <c r="P16" i="3"/>
  <c r="P11" i="3"/>
  <c r="P37" i="3"/>
  <c r="P10" i="3"/>
  <c r="Q18" i="3"/>
  <c r="P33" i="3"/>
  <c r="Q39" i="3"/>
  <c r="P25" i="3"/>
  <c r="Q23" i="3"/>
  <c r="Q29" i="3"/>
  <c r="P27" i="3"/>
  <c r="P7" i="3"/>
  <c r="P19" i="3"/>
  <c r="Q20" i="3"/>
  <c r="Q17" i="3"/>
  <c r="Q21" i="3"/>
  <c r="P35" i="3"/>
  <c r="Q8" i="3"/>
  <c r="Q40" i="3"/>
  <c r="Q28" i="3"/>
  <c r="P14" i="3"/>
  <c r="Q5" i="3"/>
  <c r="Q37" i="3"/>
  <c r="P31" i="3"/>
  <c r="Q26" i="3"/>
  <c r="Q36" i="3"/>
  <c r="P12" i="3"/>
  <c r="Q11" i="3"/>
  <c r="Q27" i="3"/>
  <c r="P29" i="3"/>
  <c r="P17" i="3"/>
  <c r="Q13" i="3"/>
  <c r="P38" i="3"/>
  <c r="P18" i="3"/>
  <c r="P15" i="3"/>
  <c r="Q32" i="3"/>
  <c r="P24" i="3"/>
  <c r="N37" i="11"/>
  <c r="O37" i="11"/>
  <c r="P37" i="11"/>
  <c r="Q37" i="11"/>
  <c r="N35" i="11"/>
  <c r="O35" i="11"/>
  <c r="P35" i="11"/>
  <c r="Q35" i="11"/>
  <c r="N36" i="11"/>
  <c r="O36" i="11"/>
  <c r="P36" i="11"/>
  <c r="Q36" i="11"/>
  <c r="N39" i="11"/>
  <c r="O39" i="11"/>
  <c r="P39" i="11"/>
  <c r="Q39" i="11"/>
  <c r="N38" i="11"/>
  <c r="O38" i="11"/>
  <c r="P38" i="11"/>
  <c r="Q38" i="11"/>
  <c r="V8" i="3"/>
  <c r="V29" i="3"/>
  <c r="V34" i="3"/>
  <c r="U6" i="3"/>
  <c r="V35" i="3"/>
  <c r="V32" i="3"/>
  <c r="U23" i="3"/>
  <c r="W6" i="3"/>
  <c r="W16" i="3"/>
  <c r="W36" i="3"/>
  <c r="W32" i="3"/>
  <c r="U8" i="3"/>
  <c r="W39" i="3"/>
  <c r="U11" i="3"/>
  <c r="V38" i="3"/>
  <c r="V28" i="3"/>
  <c r="U34" i="3"/>
  <c r="V21" i="3"/>
  <c r="V7" i="3"/>
  <c r="V39" i="3"/>
  <c r="V6" i="3"/>
  <c r="V26" i="3"/>
  <c r="W7" i="3"/>
  <c r="V22" i="3"/>
  <c r="U28" i="3"/>
  <c r="V33" i="3"/>
  <c r="W35" i="3"/>
  <c r="U14" i="3"/>
  <c r="V12" i="3"/>
  <c r="V25" i="3"/>
  <c r="V31" i="3"/>
  <c r="W38" i="3"/>
  <c r="V23" i="3"/>
  <c r="V9" i="3"/>
  <c r="W26" i="3"/>
  <c r="U20" i="3"/>
  <c r="U40" i="3"/>
  <c r="U10" i="3"/>
  <c r="W14" i="3"/>
  <c r="W27" i="3"/>
  <c r="U37" i="3"/>
  <c r="W20" i="3"/>
  <c r="W34" i="3"/>
  <c r="V11" i="3"/>
  <c r="U36" i="3"/>
  <c r="V10" i="3"/>
  <c r="U25" i="3"/>
  <c r="V37" i="3"/>
  <c r="W12" i="3"/>
  <c r="W25" i="3"/>
  <c r="W22" i="3"/>
  <c r="V14" i="3"/>
  <c r="W40" i="3"/>
  <c r="W30" i="3"/>
  <c r="V16" i="3"/>
  <c r="W24" i="3"/>
  <c r="W28" i="3"/>
  <c r="U5" i="3"/>
  <c r="W9" i="3"/>
  <c r="W19" i="3"/>
  <c r="V30" i="3"/>
  <c r="U38" i="3"/>
  <c r="U17" i="3"/>
  <c r="U31" i="3"/>
  <c r="U21" i="3"/>
  <c r="W18" i="3"/>
  <c r="U27" i="3"/>
  <c r="W10" i="3"/>
  <c r="W8" i="3"/>
  <c r="U30" i="3"/>
  <c r="V13" i="3"/>
  <c r="V15" i="3"/>
  <c r="V19" i="3"/>
  <c r="W11" i="3"/>
  <c r="U39" i="3"/>
  <c r="V27" i="3"/>
  <c r="W21" i="3"/>
  <c r="U19" i="3"/>
  <c r="W17" i="3"/>
  <c r="U35" i="3"/>
  <c r="U18" i="3"/>
  <c r="U24" i="3"/>
  <c r="V17" i="3"/>
  <c r="U32" i="3"/>
  <c r="V36" i="3"/>
  <c r="V18" i="3"/>
  <c r="U29" i="3"/>
  <c r="U22" i="3"/>
  <c r="W13" i="3"/>
  <c r="V24" i="3"/>
  <c r="U13" i="3"/>
  <c r="W23" i="3"/>
  <c r="U15" i="3"/>
  <c r="W31" i="3"/>
  <c r="U26" i="3"/>
  <c r="V20" i="3"/>
  <c r="V5" i="3"/>
  <c r="W5" i="3"/>
  <c r="V40" i="3"/>
  <c r="W29" i="3"/>
  <c r="U12" i="3"/>
  <c r="U9" i="3"/>
  <c r="U7" i="3"/>
  <c r="U33" i="3"/>
  <c r="W15" i="3"/>
  <c r="W33" i="3"/>
  <c r="W37" i="3"/>
  <c r="U16" i="3"/>
  <c r="T15" i="3"/>
  <c r="X15" i="3"/>
  <c r="Y15" i="3"/>
  <c r="S37" i="3"/>
  <c r="AB37" i="3"/>
  <c r="D37" i="4"/>
  <c r="S21" i="3"/>
  <c r="S40" i="3"/>
  <c r="AB40" i="3"/>
  <c r="D40" i="4"/>
  <c r="S26" i="3"/>
  <c r="AB26" i="3"/>
  <c r="D26" i="4" s="1"/>
  <c r="T21" i="3"/>
  <c r="X21" i="3"/>
  <c r="S13" i="3"/>
  <c r="T29" i="3"/>
  <c r="S6" i="3"/>
  <c r="S34" i="3"/>
  <c r="T39" i="3"/>
  <c r="X39" i="3"/>
  <c r="Y39" i="3"/>
  <c r="S11" i="3"/>
  <c r="T27" i="3"/>
  <c r="T12" i="3"/>
  <c r="X12" i="3"/>
  <c r="S33" i="3"/>
  <c r="T24" i="3"/>
  <c r="X24" i="3"/>
  <c r="S18" i="3"/>
  <c r="T22" i="3"/>
  <c r="X22" i="3"/>
  <c r="S14" i="3"/>
  <c r="S23" i="3"/>
  <c r="AB23" i="3"/>
  <c r="D23" i="4" s="1"/>
  <c r="F23" i="10" s="1"/>
  <c r="T38" i="3"/>
  <c r="Y38" i="3"/>
  <c r="Y12" i="3"/>
  <c r="T10" i="3"/>
  <c r="T16" i="3"/>
  <c r="S30" i="3"/>
  <c r="T19" i="3"/>
  <c r="X38" i="3"/>
  <c r="S39" i="3"/>
  <c r="AB39" i="3"/>
  <c r="D39" i="4"/>
  <c r="S36" i="3"/>
  <c r="AB36" i="3"/>
  <c r="D36" i="4"/>
  <c r="T28" i="3"/>
  <c r="Y28" i="3"/>
  <c r="T23" i="3"/>
  <c r="X23" i="3"/>
  <c r="Y23" i="3"/>
  <c r="S31" i="3"/>
  <c r="AB31" i="3"/>
  <c r="D31" i="4" s="1"/>
  <c r="F31" i="10" s="1"/>
  <c r="S27" i="3"/>
  <c r="AB27" i="3"/>
  <c r="D27" i="4" s="1"/>
  <c r="F27" i="10" s="1"/>
  <c r="S8" i="3"/>
  <c r="T31" i="3"/>
  <c r="X31" i="3"/>
  <c r="S29" i="3"/>
  <c r="S22" i="3"/>
  <c r="AB22" i="3"/>
  <c r="D22" i="4" s="1"/>
  <c r="J22" i="4" s="1"/>
  <c r="N22" i="4" s="1"/>
  <c r="T6" i="3"/>
  <c r="Y6" i="3"/>
  <c r="S25" i="3"/>
  <c r="AB25" i="3"/>
  <c r="D25" i="4" s="1"/>
  <c r="T20" i="3"/>
  <c r="X20" i="3"/>
  <c r="T18" i="3"/>
  <c r="Y18" i="3"/>
  <c r="S24" i="3"/>
  <c r="AB24" i="3"/>
  <c r="D24" i="4" s="1"/>
  <c r="F24" i="10" s="1"/>
  <c r="T8" i="3"/>
  <c r="X8" i="3"/>
  <c r="Y8" i="3"/>
  <c r="S19" i="3"/>
  <c r="AB19" i="3"/>
  <c r="D19" i="4" s="1"/>
  <c r="S12" i="3"/>
  <c r="T7" i="3"/>
  <c r="X7" i="3"/>
  <c r="T13" i="3"/>
  <c r="X13" i="3"/>
  <c r="T17" i="3"/>
  <c r="Y17" i="3"/>
  <c r="T14" i="3"/>
  <c r="X14" i="3"/>
  <c r="Y14" i="3"/>
  <c r="S7" i="3"/>
  <c r="T25" i="3"/>
  <c r="X25" i="3"/>
  <c r="S16" i="3"/>
  <c r="T9" i="3"/>
  <c r="X9" i="3"/>
  <c r="Y9" i="3"/>
  <c r="S35" i="3"/>
  <c r="Y24" i="3"/>
  <c r="T26" i="3"/>
  <c r="Y26" i="3"/>
  <c r="S28" i="3"/>
  <c r="AB28" i="3"/>
  <c r="D28" i="4" s="1"/>
  <c r="J28" i="4" s="1"/>
  <c r="N28" i="4" s="1"/>
  <c r="T30" i="3"/>
  <c r="X30" i="3"/>
  <c r="Y30" i="3"/>
  <c r="T35" i="3"/>
  <c r="X35" i="3"/>
  <c r="Y35" i="3"/>
  <c r="T11" i="3"/>
  <c r="Y11" i="3"/>
  <c r="T34" i="3"/>
  <c r="X34" i="3"/>
  <c r="T40" i="3"/>
  <c r="Y40" i="3"/>
  <c r="Y22" i="3"/>
  <c r="T5" i="3"/>
  <c r="Y5" i="3"/>
  <c r="X5" i="3"/>
  <c r="T37" i="3"/>
  <c r="Y37" i="3"/>
  <c r="X17" i="3"/>
  <c r="S5" i="3"/>
  <c r="H5" i="10"/>
  <c r="T33" i="3"/>
  <c r="X33" i="3"/>
  <c r="S9" i="3"/>
  <c r="S38" i="3"/>
  <c r="AB38" i="3"/>
  <c r="D38" i="4"/>
  <c r="X37" i="3"/>
  <c r="Y31" i="3"/>
  <c r="T36" i="3"/>
  <c r="X36" i="3"/>
  <c r="Y36" i="3"/>
  <c r="S10" i="3"/>
  <c r="AB10" i="3"/>
  <c r="D10" i="4" s="1"/>
  <c r="S17" i="3"/>
  <c r="T32" i="3"/>
  <c r="X32" i="3"/>
  <c r="S20" i="3"/>
  <c r="S32" i="3"/>
  <c r="S15" i="3"/>
  <c r="AB5" i="3"/>
  <c r="AB44" i="3" s="1"/>
  <c r="F38" i="10"/>
  <c r="J38" i="4"/>
  <c r="N38" i="4"/>
  <c r="F22" i="10"/>
  <c r="F36" i="10"/>
  <c r="J36" i="4"/>
  <c r="N36" i="4"/>
  <c r="Y32" i="3"/>
  <c r="Y33" i="3"/>
  <c r="X40" i="3"/>
  <c r="Y34" i="3"/>
  <c r="X11" i="3"/>
  <c r="X26" i="3"/>
  <c r="Y7" i="3"/>
  <c r="Y13" i="3"/>
  <c r="X18" i="3"/>
  <c r="Y20" i="3"/>
  <c r="X19" i="3"/>
  <c r="Y19" i="3"/>
  <c r="F37" i="10"/>
  <c r="J37" i="4"/>
  <c r="N37" i="4"/>
  <c r="Y25" i="3"/>
  <c r="X6" i="3"/>
  <c r="X28" i="3"/>
  <c r="J27" i="4"/>
  <c r="N27" i="4" s="1"/>
  <c r="F39" i="10"/>
  <c r="J39" i="4"/>
  <c r="N39" i="4"/>
  <c r="X16" i="3"/>
  <c r="Y16" i="3"/>
  <c r="X10" i="3"/>
  <c r="Y10" i="3"/>
  <c r="X27" i="3"/>
  <c r="Y27" i="3"/>
  <c r="Y29" i="3"/>
  <c r="X29" i="3"/>
  <c r="F40" i="10"/>
  <c r="J40" i="4"/>
  <c r="N40" i="4"/>
  <c r="Y21" i="3"/>
  <c r="D5" i="4" l="1"/>
  <c r="F5" i="10" s="1"/>
  <c r="J24" i="4"/>
  <c r="N24" i="4" s="1"/>
  <c r="J33" i="4"/>
  <c r="N33" i="4" s="1"/>
  <c r="F33" i="10"/>
  <c r="J29" i="4"/>
  <c r="N29" i="4" s="1"/>
  <c r="F29" i="10"/>
  <c r="J8" i="4"/>
  <c r="N8" i="4" s="1"/>
  <c r="F8" i="10"/>
  <c r="E59" i="2"/>
  <c r="F59" i="2" s="1"/>
  <c r="D35" i="4"/>
  <c r="G65" i="2"/>
  <c r="J26" i="4"/>
  <c r="N26" i="4" s="1"/>
  <c r="F26" i="10"/>
  <c r="J10" i="4"/>
  <c r="N10" i="4" s="1"/>
  <c r="F10" i="10"/>
  <c r="F25" i="10"/>
  <c r="J25" i="4"/>
  <c r="N25" i="4" s="1"/>
  <c r="F34" i="10"/>
  <c r="J34" i="4"/>
  <c r="N34" i="4" s="1"/>
  <c r="F21" i="10"/>
  <c r="J21" i="4"/>
  <c r="N21" i="4" s="1"/>
  <c r="F14" i="10"/>
  <c r="J14" i="4"/>
  <c r="N14" i="4" s="1"/>
  <c r="J16" i="4"/>
  <c r="N16" i="4" s="1"/>
  <c r="F16" i="10"/>
  <c r="F13" i="10"/>
  <c r="J13" i="4"/>
  <c r="N13" i="4" s="1"/>
  <c r="F19" i="10"/>
  <c r="J19" i="4"/>
  <c r="N19" i="4" s="1"/>
  <c r="F18" i="10"/>
  <c r="J18" i="4"/>
  <c r="N18" i="4" s="1"/>
  <c r="L15" i="11"/>
  <c r="M15" i="11" s="1"/>
  <c r="N15" i="11" s="1"/>
  <c r="O15" i="11" s="1"/>
  <c r="P15" i="11" s="1"/>
  <c r="Q15" i="11" s="1"/>
  <c r="L20" i="11"/>
  <c r="M20" i="11" s="1"/>
  <c r="N20" i="11" s="1"/>
  <c r="O20" i="11" s="1"/>
  <c r="P20" i="11" s="1"/>
  <c r="Q20" i="11" s="1"/>
  <c r="J5" i="4"/>
  <c r="N5" i="4" s="1"/>
  <c r="J11" i="4"/>
  <c r="N11" i="4" s="1"/>
  <c r="J31" i="4"/>
  <c r="N31" i="4" s="1"/>
  <c r="J32" i="4"/>
  <c r="N32" i="4" s="1"/>
  <c r="F28" i="10"/>
  <c r="M11" i="11"/>
  <c r="N11" i="11" s="1"/>
  <c r="O11" i="11" s="1"/>
  <c r="P11" i="11" s="1"/>
  <c r="Q11" i="11" s="1"/>
  <c r="O34" i="10"/>
  <c r="P34" i="10" s="1"/>
  <c r="U34" i="10" s="1"/>
  <c r="V34" i="10" s="1"/>
  <c r="O30" i="10"/>
  <c r="P30" i="10" s="1"/>
  <c r="U30" i="10" s="1"/>
  <c r="V30" i="10" s="1"/>
  <c r="O26" i="10"/>
  <c r="P26" i="10" s="1"/>
  <c r="U26" i="10" s="1"/>
  <c r="V26" i="10" s="1"/>
  <c r="O22" i="10"/>
  <c r="P22" i="10" s="1"/>
  <c r="U22" i="10" s="1"/>
  <c r="V22" i="10" s="1"/>
  <c r="J23" i="4"/>
  <c r="N23" i="4" s="1"/>
  <c r="F9" i="10"/>
  <c r="F12" i="10"/>
  <c r="AD44" i="3"/>
  <c r="AD45" i="3" s="1"/>
  <c r="E50" i="2"/>
  <c r="F50" i="2" s="1"/>
  <c r="M7" i="11"/>
  <c r="N7" i="11" s="1"/>
  <c r="O7" i="11" s="1"/>
  <c r="P7" i="11" s="1"/>
  <c r="Q7" i="11" s="1"/>
  <c r="J7" i="4"/>
  <c r="N7" i="4" s="1"/>
  <c r="L32" i="11"/>
  <c r="M32" i="11" s="1"/>
  <c r="N32" i="11" s="1"/>
  <c r="O32" i="11" s="1"/>
  <c r="P32" i="11" s="1"/>
  <c r="Q32" i="11" s="1"/>
  <c r="L34" i="11"/>
  <c r="M34" i="11" s="1"/>
  <c r="N34" i="11" s="1"/>
  <c r="O34" i="11" s="1"/>
  <c r="P34" i="11" s="1"/>
  <c r="Q34" i="11" s="1"/>
  <c r="K31" i="2"/>
  <c r="L31" i="2" s="1"/>
  <c r="K39" i="2"/>
  <c r="E39" i="10" s="1"/>
  <c r="O39" i="10" s="1"/>
  <c r="P39" i="10" s="1"/>
  <c r="K17" i="2"/>
  <c r="E17" i="10" s="1"/>
  <c r="O17" i="10" s="1"/>
  <c r="P17" i="10" s="1"/>
  <c r="Q31" i="2"/>
  <c r="K23" i="2"/>
  <c r="E23" i="10" s="1"/>
  <c r="O23" i="10" s="1"/>
  <c r="P23" i="10" s="1"/>
  <c r="K21" i="2"/>
  <c r="E21" i="10" s="1"/>
  <c r="O21" i="10" s="1"/>
  <c r="P21" i="10" s="1"/>
  <c r="K11" i="2"/>
  <c r="E11" i="10" s="1"/>
  <c r="O11" i="10" s="1"/>
  <c r="P11" i="10" s="1"/>
  <c r="K15" i="2"/>
  <c r="E15" i="10" s="1"/>
  <c r="O15" i="10" s="1"/>
  <c r="P15" i="10" s="1"/>
  <c r="K29" i="2"/>
  <c r="Q29" i="2" s="1"/>
  <c r="K27" i="2"/>
  <c r="O27" i="2" s="1"/>
  <c r="K36" i="2"/>
  <c r="L36" i="2" s="1"/>
  <c r="R34" i="2"/>
  <c r="Q22" i="2"/>
  <c r="K33" i="2"/>
  <c r="E33" i="10" s="1"/>
  <c r="O33" i="10" s="1"/>
  <c r="P33" i="10" s="1"/>
  <c r="K9" i="2"/>
  <c r="E9" i="10" s="1"/>
  <c r="O9" i="10" s="1"/>
  <c r="P9" i="10" s="1"/>
  <c r="P33" i="2"/>
  <c r="R22" i="2"/>
  <c r="K24" i="2"/>
  <c r="Q24" i="2" s="1"/>
  <c r="K16" i="2"/>
  <c r="E16" i="10" s="1"/>
  <c r="O16" i="10" s="1"/>
  <c r="P16" i="10" s="1"/>
  <c r="K37" i="2"/>
  <c r="E37" i="10" s="1"/>
  <c r="O37" i="10" s="1"/>
  <c r="P37" i="10" s="1"/>
  <c r="K7" i="2"/>
  <c r="E7" i="10" s="1"/>
  <c r="O7" i="10" s="1"/>
  <c r="P7" i="10" s="1"/>
  <c r="K25" i="2"/>
  <c r="E25" i="10" s="1"/>
  <c r="O25" i="10" s="1"/>
  <c r="P25" i="10" s="1"/>
  <c r="K35" i="2"/>
  <c r="E35" i="10" s="1"/>
  <c r="O35" i="10" s="1"/>
  <c r="P35" i="10" s="1"/>
  <c r="K19" i="2"/>
  <c r="Q19" i="2" s="1"/>
  <c r="K12" i="2"/>
  <c r="E12" i="10" s="1"/>
  <c r="O12" i="10" s="1"/>
  <c r="P12" i="10" s="1"/>
  <c r="Q7" i="2"/>
  <c r="P35" i="2"/>
  <c r="P9" i="2"/>
  <c r="P30" i="2"/>
  <c r="Q26" i="2"/>
  <c r="L26" i="2"/>
  <c r="P31" i="2"/>
  <c r="K38" i="2"/>
  <c r="E38" i="10" s="1"/>
  <c r="O38" i="10" s="1"/>
  <c r="P38" i="10" s="1"/>
  <c r="L22" i="2"/>
  <c r="P17" i="2"/>
  <c r="L21" i="2"/>
  <c r="R12" i="2"/>
  <c r="O30" i="2"/>
  <c r="P34" i="2"/>
  <c r="Q34" i="2"/>
  <c r="K13" i="2"/>
  <c r="E13" i="10" s="1"/>
  <c r="O13" i="10" s="1"/>
  <c r="P13" i="10" s="1"/>
  <c r="K8" i="2"/>
  <c r="Q8" i="2" s="1"/>
  <c r="P22" i="2"/>
  <c r="Q30" i="2"/>
  <c r="P26" i="2"/>
  <c r="O34" i="2"/>
  <c r="R30" i="2"/>
  <c r="K5" i="2"/>
  <c r="E5" i="10" s="1"/>
  <c r="O5" i="10" s="1"/>
  <c r="P5" i="10" s="1"/>
  <c r="L30" i="2"/>
  <c r="K40" i="2"/>
  <c r="E40" i="10" s="1"/>
  <c r="O40" i="10" s="1"/>
  <c r="P40" i="10" s="1"/>
  <c r="O17" i="2"/>
  <c r="R16" i="2"/>
  <c r="L34" i="2"/>
  <c r="E49" i="2"/>
  <c r="F49" i="2" s="1"/>
  <c r="R26" i="2"/>
  <c r="K14" i="2"/>
  <c r="E14" i="10" s="1"/>
  <c r="O14" i="10" s="1"/>
  <c r="P14" i="10" s="1"/>
  <c r="K10" i="2"/>
  <c r="E10" i="10" s="1"/>
  <c r="O10" i="10" s="1"/>
  <c r="P10" i="10" s="1"/>
  <c r="K6" i="2"/>
  <c r="E6" i="10" s="1"/>
  <c r="O6" i="10" s="1"/>
  <c r="P6" i="10" s="1"/>
  <c r="J30" i="4"/>
  <c r="N30" i="4" s="1"/>
  <c r="F15" i="10"/>
  <c r="F20" i="10"/>
  <c r="J20" i="4"/>
  <c r="N20" i="4" s="1"/>
  <c r="O22" i="2"/>
  <c r="J6" i="4"/>
  <c r="N6" i="4" s="1"/>
  <c r="F6" i="10"/>
  <c r="J17" i="4"/>
  <c r="N17" i="4" s="1"/>
  <c r="F17" i="10"/>
  <c r="Q22" i="10"/>
  <c r="Q30" i="10"/>
  <c r="K32" i="2"/>
  <c r="E32" i="10" s="1"/>
  <c r="O32" i="10" s="1"/>
  <c r="P32" i="10" s="1"/>
  <c r="L5" i="11"/>
  <c r="M5" i="11" s="1"/>
  <c r="N5" i="11" s="1"/>
  <c r="O5" i="11" s="1"/>
  <c r="P5" i="11" s="1"/>
  <c r="Q5" i="11" s="1"/>
  <c r="L13" i="11"/>
  <c r="M13" i="11" s="1"/>
  <c r="N13" i="11" s="1"/>
  <c r="O13" i="11" s="1"/>
  <c r="P13" i="11" s="1"/>
  <c r="Q13" i="11" s="1"/>
  <c r="L21" i="11"/>
  <c r="M21" i="11" s="1"/>
  <c r="N21" i="11" s="1"/>
  <c r="O21" i="11" s="1"/>
  <c r="P21" i="11" s="1"/>
  <c r="Q21" i="11" s="1"/>
  <c r="L25" i="11"/>
  <c r="M25" i="11" s="1"/>
  <c r="N25" i="11" s="1"/>
  <c r="O25" i="11" s="1"/>
  <c r="P25" i="11" s="1"/>
  <c r="Q25" i="11" s="1"/>
  <c r="F65" i="2"/>
  <c r="E65" i="2" s="1"/>
  <c r="D65" i="2" s="1"/>
  <c r="L4" i="11"/>
  <c r="M4" i="11" s="1"/>
  <c r="N4" i="11" s="1"/>
  <c r="O4" i="11" s="1"/>
  <c r="P4" i="11" s="1"/>
  <c r="Q4" i="11" s="1"/>
  <c r="L28" i="11"/>
  <c r="M28" i="11" s="1"/>
  <c r="N28" i="11" s="1"/>
  <c r="O28" i="11" s="1"/>
  <c r="P28" i="11" s="1"/>
  <c r="Q28" i="11" s="1"/>
  <c r="L30" i="11"/>
  <c r="M30" i="11" s="1"/>
  <c r="N30" i="11" s="1"/>
  <c r="O30" i="11" s="1"/>
  <c r="P30" i="11" s="1"/>
  <c r="Q30" i="11" s="1"/>
  <c r="L9" i="11"/>
  <c r="M9" i="11" s="1"/>
  <c r="N9" i="11" s="1"/>
  <c r="O9" i="11" s="1"/>
  <c r="P9" i="11" s="1"/>
  <c r="Q9" i="11" s="1"/>
  <c r="M16" i="11"/>
  <c r="N16" i="11" s="1"/>
  <c r="O16" i="11" s="1"/>
  <c r="P16" i="11" s="1"/>
  <c r="Q16" i="11" s="1"/>
  <c r="L18" i="11"/>
  <c r="M18" i="11" s="1"/>
  <c r="N18" i="11" s="1"/>
  <c r="O18" i="11" s="1"/>
  <c r="P18" i="11" s="1"/>
  <c r="Q18" i="11" s="1"/>
  <c r="M12" i="11"/>
  <c r="N12" i="11" s="1"/>
  <c r="O12" i="11" s="1"/>
  <c r="P12" i="11" s="1"/>
  <c r="Q12" i="11" s="1"/>
  <c r="L22" i="11"/>
  <c r="M22" i="11" s="1"/>
  <c r="N22" i="11" s="1"/>
  <c r="O22" i="11" s="1"/>
  <c r="P22" i="11" s="1"/>
  <c r="Q22" i="11" s="1"/>
  <c r="M24" i="11"/>
  <c r="N24" i="11" s="1"/>
  <c r="O24" i="11" s="1"/>
  <c r="P24" i="11" s="1"/>
  <c r="Q24" i="11" s="1"/>
  <c r="L29" i="11"/>
  <c r="M29" i="11" s="1"/>
  <c r="N29" i="11" s="1"/>
  <c r="O29" i="11" s="1"/>
  <c r="P29" i="11" s="1"/>
  <c r="Q29" i="11" s="1"/>
  <c r="M8" i="11"/>
  <c r="N8" i="11" s="1"/>
  <c r="O8" i="11" s="1"/>
  <c r="P8" i="11" s="1"/>
  <c r="Q8" i="11" s="1"/>
  <c r="L17" i="11"/>
  <c r="M17" i="11" s="1"/>
  <c r="N17" i="11" s="1"/>
  <c r="O17" i="11" s="1"/>
  <c r="P17" i="11" s="1"/>
  <c r="Q17" i="11" s="1"/>
  <c r="L26" i="11"/>
  <c r="M26" i="11" s="1"/>
  <c r="N26" i="11" s="1"/>
  <c r="O26" i="11" s="1"/>
  <c r="P26" i="11" s="1"/>
  <c r="Q26" i="11" s="1"/>
  <c r="L33" i="11"/>
  <c r="M33" i="11" s="1"/>
  <c r="N33" i="11" s="1"/>
  <c r="O33" i="11" s="1"/>
  <c r="P33" i="11" s="1"/>
  <c r="Q33" i="11" s="1"/>
  <c r="M6" i="11"/>
  <c r="N6" i="11" s="1"/>
  <c r="O6" i="11" s="1"/>
  <c r="P6" i="11" s="1"/>
  <c r="Q6" i="11" s="1"/>
  <c r="M10" i="11"/>
  <c r="N10" i="11" s="1"/>
  <c r="O10" i="11" s="1"/>
  <c r="P10" i="11" s="1"/>
  <c r="Q10" i="11" s="1"/>
  <c r="M14" i="11"/>
  <c r="N14" i="11" s="1"/>
  <c r="O14" i="11" s="1"/>
  <c r="P14" i="11" s="1"/>
  <c r="Q14" i="11" s="1"/>
  <c r="M19" i="11"/>
  <c r="N19" i="11" s="1"/>
  <c r="O19" i="11" s="1"/>
  <c r="P19" i="11" s="1"/>
  <c r="Q19" i="11" s="1"/>
  <c r="M23" i="11"/>
  <c r="N23" i="11" s="1"/>
  <c r="O23" i="11" s="1"/>
  <c r="P23" i="11" s="1"/>
  <c r="Q23" i="11" s="1"/>
  <c r="M27" i="11"/>
  <c r="N27" i="11" s="1"/>
  <c r="O27" i="11" s="1"/>
  <c r="P27" i="11" s="1"/>
  <c r="Q27" i="11" s="1"/>
  <c r="M31" i="11"/>
  <c r="N31" i="11" s="1"/>
  <c r="O31" i="11" s="1"/>
  <c r="P31" i="11" s="1"/>
  <c r="Q31" i="11" s="1"/>
  <c r="K28" i="2"/>
  <c r="E28" i="10" s="1"/>
  <c r="O28" i="10" s="1"/>
  <c r="P28" i="10" s="1"/>
  <c r="K20" i="2"/>
  <c r="E20" i="10" s="1"/>
  <c r="O20" i="10" s="1"/>
  <c r="P20" i="10" s="1"/>
  <c r="P24" i="2" l="1"/>
  <c r="O20" i="2"/>
  <c r="O13" i="2"/>
  <c r="R9" i="2"/>
  <c r="Q25" i="2"/>
  <c r="L12" i="2"/>
  <c r="R23" i="2"/>
  <c r="R17" i="2"/>
  <c r="P12" i="2"/>
  <c r="P6" i="2"/>
  <c r="L7" i="2"/>
  <c r="R29" i="2"/>
  <c r="L17" i="2"/>
  <c r="R20" i="2"/>
  <c r="L13" i="2"/>
  <c r="R13" i="2"/>
  <c r="O23" i="2"/>
  <c r="L16" i="2"/>
  <c r="O32" i="2"/>
  <c r="J35" i="4"/>
  <c r="N35" i="4" s="1"/>
  <c r="F35" i="10"/>
  <c r="O35" i="2"/>
  <c r="Q12" i="2"/>
  <c r="O16" i="2"/>
  <c r="T16" i="2" s="1"/>
  <c r="Z16" i="2" s="1"/>
  <c r="P16" i="2"/>
  <c r="F53" i="2"/>
  <c r="E53" i="2" s="1"/>
  <c r="D53" i="2" s="1"/>
  <c r="G31" i="2" s="1"/>
  <c r="R35" i="2"/>
  <c r="O21" i="2"/>
  <c r="O31" i="2"/>
  <c r="L20" i="2"/>
  <c r="Q16" i="2"/>
  <c r="R38" i="2"/>
  <c r="Q40" i="2"/>
  <c r="R5" i="2"/>
  <c r="Q11" i="2"/>
  <c r="L38" i="2"/>
  <c r="R11" i="2"/>
  <c r="P20" i="2"/>
  <c r="O11" i="2"/>
  <c r="L25" i="2"/>
  <c r="R40" i="2"/>
  <c r="L33" i="2"/>
  <c r="O40" i="2"/>
  <c r="U40" i="2" s="1"/>
  <c r="R33" i="2"/>
  <c r="R25" i="2"/>
  <c r="L6" i="2"/>
  <c r="O7" i="2"/>
  <c r="Q34" i="10"/>
  <c r="Q33" i="2"/>
  <c r="U26" i="2"/>
  <c r="F26" i="3" s="1"/>
  <c r="AD26" i="3" s="1"/>
  <c r="F26" i="4" s="1"/>
  <c r="L26" i="4" s="1"/>
  <c r="P26" i="4" s="1"/>
  <c r="R28" i="2"/>
  <c r="P38" i="2"/>
  <c r="L40" i="2"/>
  <c r="P40" i="2"/>
  <c r="P25" i="2"/>
  <c r="Q5" i="2"/>
  <c r="Q10" i="2"/>
  <c r="R39" i="2"/>
  <c r="R27" i="2"/>
  <c r="P37" i="2"/>
  <c r="Q36" i="2"/>
  <c r="O5" i="2"/>
  <c r="L32" i="2"/>
  <c r="O39" i="2"/>
  <c r="T39" i="2" s="1"/>
  <c r="Z39" i="2" s="1"/>
  <c r="P13" i="2"/>
  <c r="O12" i="2"/>
  <c r="T12" i="2" s="1"/>
  <c r="P7" i="2"/>
  <c r="Q26" i="10"/>
  <c r="Q14" i="10"/>
  <c r="U14" i="10"/>
  <c r="V14" i="10" s="1"/>
  <c r="U34" i="2"/>
  <c r="T34" i="2"/>
  <c r="Q37" i="10"/>
  <c r="U37" i="10"/>
  <c r="V37" i="10" s="1"/>
  <c r="O37" i="2"/>
  <c r="U15" i="10"/>
  <c r="V15" i="10" s="1"/>
  <c r="Q15" i="10"/>
  <c r="O19" i="2"/>
  <c r="U21" i="10"/>
  <c r="V21" i="10" s="1"/>
  <c r="Q21" i="10"/>
  <c r="R15" i="2"/>
  <c r="E8" i="10"/>
  <c r="O8" i="10" s="1"/>
  <c r="P8" i="10" s="1"/>
  <c r="O8" i="2"/>
  <c r="L29" i="2"/>
  <c r="O14" i="2"/>
  <c r="L8" i="2"/>
  <c r="U35" i="10"/>
  <c r="V35" i="10" s="1"/>
  <c r="Q35" i="10"/>
  <c r="Q15" i="2"/>
  <c r="O15" i="2"/>
  <c r="Q9" i="10"/>
  <c r="U9" i="10"/>
  <c r="V9" i="10" s="1"/>
  <c r="E27" i="10"/>
  <c r="O27" i="10" s="1"/>
  <c r="P27" i="10" s="1"/>
  <c r="Q27" i="2"/>
  <c r="Q35" i="2"/>
  <c r="U39" i="10"/>
  <c r="V39" i="10" s="1"/>
  <c r="Q39" i="10"/>
  <c r="T26" i="2"/>
  <c r="Q20" i="10"/>
  <c r="U20" i="10"/>
  <c r="V20" i="10" s="1"/>
  <c r="U32" i="10"/>
  <c r="V32" i="10" s="1"/>
  <c r="Q32" i="10"/>
  <c r="Q6" i="10"/>
  <c r="U6" i="10"/>
  <c r="V6" i="10" s="1"/>
  <c r="G20" i="2"/>
  <c r="G12" i="2"/>
  <c r="G11" i="2"/>
  <c r="G16" i="2"/>
  <c r="G10" i="2"/>
  <c r="Q32" i="2"/>
  <c r="U40" i="10"/>
  <c r="V40" i="10" s="1"/>
  <c r="Q40" i="10"/>
  <c r="Q5" i="10"/>
  <c r="U5" i="10"/>
  <c r="V5" i="10" s="1"/>
  <c r="L14" i="2"/>
  <c r="Q6" i="2"/>
  <c r="L11" i="2"/>
  <c r="P23" i="2"/>
  <c r="P5" i="2"/>
  <c r="T5" i="2" s="1"/>
  <c r="L23" i="2"/>
  <c r="P27" i="2"/>
  <c r="Q37" i="2"/>
  <c r="T30" i="2"/>
  <c r="U30" i="2"/>
  <c r="O38" i="2"/>
  <c r="Q28" i="2"/>
  <c r="L39" i="2"/>
  <c r="O9" i="2"/>
  <c r="P11" i="2"/>
  <c r="Q23" i="2"/>
  <c r="Q21" i="2"/>
  <c r="O33" i="2"/>
  <c r="P32" i="2"/>
  <c r="P28" i="2"/>
  <c r="U25" i="10"/>
  <c r="V25" i="10" s="1"/>
  <c r="Q25" i="10"/>
  <c r="U7" i="10"/>
  <c r="V7" i="10" s="1"/>
  <c r="Q7" i="10"/>
  <c r="Q16" i="10"/>
  <c r="U16" i="10"/>
  <c r="V16" i="10" s="1"/>
  <c r="Q13" i="2"/>
  <c r="R10" i="2"/>
  <c r="R7" i="2"/>
  <c r="L10" i="2"/>
  <c r="L15" i="2"/>
  <c r="Q17" i="2"/>
  <c r="L35" i="2"/>
  <c r="Q39" i="2"/>
  <c r="L5" i="2"/>
  <c r="O25" i="2"/>
  <c r="Q38" i="2"/>
  <c r="O6" i="2"/>
  <c r="R32" i="2"/>
  <c r="R6" i="2"/>
  <c r="U22" i="2"/>
  <c r="T22" i="2"/>
  <c r="R14" i="2"/>
  <c r="E19" i="10"/>
  <c r="O19" i="10" s="1"/>
  <c r="P19" i="10" s="1"/>
  <c r="K18" i="2"/>
  <c r="E36" i="10"/>
  <c r="O36" i="10" s="1"/>
  <c r="P36" i="10" s="1"/>
  <c r="O36" i="2"/>
  <c r="L19" i="2"/>
  <c r="E29" i="10"/>
  <c r="O29" i="10" s="1"/>
  <c r="P29" i="10" s="1"/>
  <c r="P29" i="2"/>
  <c r="P36" i="2"/>
  <c r="P14" i="2"/>
  <c r="R21" i="2"/>
  <c r="Q28" i="10"/>
  <c r="U28" i="10"/>
  <c r="V28" i="10" s="1"/>
  <c r="Q10" i="10"/>
  <c r="U10" i="10"/>
  <c r="V10" i="10" s="1"/>
  <c r="R8" i="2"/>
  <c r="L28" i="2"/>
  <c r="P10" i="2"/>
  <c r="U13" i="10"/>
  <c r="V13" i="10" s="1"/>
  <c r="Q13" i="10"/>
  <c r="Q9" i="2"/>
  <c r="O28" i="2"/>
  <c r="Q14" i="2"/>
  <c r="P8" i="2"/>
  <c r="O29" i="2"/>
  <c r="U38" i="10"/>
  <c r="V38" i="10" s="1"/>
  <c r="Q38" i="10"/>
  <c r="L9" i="2"/>
  <c r="U23" i="2"/>
  <c r="L27" i="2"/>
  <c r="R19" i="2"/>
  <c r="L37" i="2"/>
  <c r="Q12" i="10"/>
  <c r="U12" i="10"/>
  <c r="V12" i="10" s="1"/>
  <c r="R36" i="2"/>
  <c r="E24" i="10"/>
  <c r="O24" i="10" s="1"/>
  <c r="P24" i="10" s="1"/>
  <c r="L24" i="2"/>
  <c r="Q20" i="2"/>
  <c r="P21" i="2"/>
  <c r="P39" i="2"/>
  <c r="U33" i="10"/>
  <c r="V33" i="10" s="1"/>
  <c r="Q33" i="10"/>
  <c r="O24" i="2"/>
  <c r="R24" i="2"/>
  <c r="P19" i="2"/>
  <c r="R37" i="2"/>
  <c r="O10" i="2"/>
  <c r="Q11" i="10"/>
  <c r="U11" i="10"/>
  <c r="V11" i="10" s="1"/>
  <c r="U23" i="10"/>
  <c r="V23" i="10" s="1"/>
  <c r="Q23" i="10"/>
  <c r="U17" i="10"/>
  <c r="V17" i="10" s="1"/>
  <c r="Q17" i="10"/>
  <c r="P15" i="2"/>
  <c r="E31" i="10"/>
  <c r="O31" i="10" s="1"/>
  <c r="P31" i="10" s="1"/>
  <c r="R31" i="2"/>
  <c r="G37" i="2" l="1"/>
  <c r="G15" i="2"/>
  <c r="U39" i="2"/>
  <c r="G38" i="2"/>
  <c r="I38" i="2" s="1"/>
  <c r="G40" i="2"/>
  <c r="T17" i="2"/>
  <c r="Z17" i="2" s="1"/>
  <c r="G36" i="2"/>
  <c r="I36" i="2" s="1"/>
  <c r="G35" i="2"/>
  <c r="H35" i="2" s="1"/>
  <c r="G28" i="2"/>
  <c r="I28" i="2" s="1"/>
  <c r="G19" i="2"/>
  <c r="H19" i="2" s="1"/>
  <c r="T27" i="2"/>
  <c r="E27" i="3" s="1"/>
  <c r="AC27" i="3" s="1"/>
  <c r="E27" i="4" s="1"/>
  <c r="K27" i="4" s="1"/>
  <c r="O27" i="4" s="1"/>
  <c r="T7" i="2"/>
  <c r="E7" i="3" s="1"/>
  <c r="AC7" i="3" s="1"/>
  <c r="E7" i="4" s="1"/>
  <c r="K7" i="4" s="1"/>
  <c r="O7" i="4" s="1"/>
  <c r="U21" i="2"/>
  <c r="X21" i="2" s="1"/>
  <c r="T40" i="2"/>
  <c r="Z40" i="2" s="1"/>
  <c r="G18" i="2"/>
  <c r="H18" i="2" s="1"/>
  <c r="G26" i="2"/>
  <c r="I26" i="2" s="1"/>
  <c r="G21" i="2"/>
  <c r="I21" i="2" s="1"/>
  <c r="G34" i="2"/>
  <c r="H34" i="2" s="1"/>
  <c r="G6" i="2"/>
  <c r="H6" i="2" s="1"/>
  <c r="Z34" i="2"/>
  <c r="X26" i="2"/>
  <c r="T31" i="2"/>
  <c r="Z31" i="2" s="1"/>
  <c r="T23" i="2"/>
  <c r="E23" i="3" s="1"/>
  <c r="AC23" i="3" s="1"/>
  <c r="E23" i="4" s="1"/>
  <c r="K23" i="4" s="1"/>
  <c r="O23" i="4" s="1"/>
  <c r="U17" i="2"/>
  <c r="AA17" i="2" s="1"/>
  <c r="U13" i="2"/>
  <c r="AA13" i="2" s="1"/>
  <c r="T11" i="2"/>
  <c r="E11" i="3" s="1"/>
  <c r="AC11" i="3" s="1"/>
  <c r="E11" i="4" s="1"/>
  <c r="K11" i="4" s="1"/>
  <c r="O11" i="4" s="1"/>
  <c r="U27" i="2"/>
  <c r="X27" i="2" s="1"/>
  <c r="U16" i="2"/>
  <c r="X16" i="2" s="1"/>
  <c r="U31" i="2"/>
  <c r="X31" i="2" s="1"/>
  <c r="U7" i="2"/>
  <c r="F7" i="3" s="1"/>
  <c r="AD7" i="3" s="1"/>
  <c r="F7" i="4" s="1"/>
  <c r="L7" i="4" s="1"/>
  <c r="P7" i="4" s="1"/>
  <c r="U12" i="2"/>
  <c r="F12" i="3" s="1"/>
  <c r="AD12" i="3" s="1"/>
  <c r="F12" i="4" s="1"/>
  <c r="L12" i="4" s="1"/>
  <c r="P12" i="4" s="1"/>
  <c r="U20" i="2"/>
  <c r="AA20" i="2" s="1"/>
  <c r="T35" i="2"/>
  <c r="W35" i="2" s="1"/>
  <c r="U32" i="2"/>
  <c r="AA32" i="2" s="1"/>
  <c r="AA31" i="2"/>
  <c r="G7" i="2"/>
  <c r="I7" i="2" s="1"/>
  <c r="G17" i="2"/>
  <c r="I17" i="2" s="1"/>
  <c r="G5" i="2"/>
  <c r="G22" i="2"/>
  <c r="H22" i="2" s="1"/>
  <c r="G32" i="2"/>
  <c r="H32" i="2" s="1"/>
  <c r="G9" i="2"/>
  <c r="H9" i="2" s="1"/>
  <c r="G25" i="2"/>
  <c r="H25" i="2" s="1"/>
  <c r="G14" i="2"/>
  <c r="I14" i="2" s="1"/>
  <c r="G30" i="2"/>
  <c r="I30" i="2" s="1"/>
  <c r="G13" i="2"/>
  <c r="I13" i="2" s="1"/>
  <c r="T13" i="2"/>
  <c r="T20" i="2"/>
  <c r="W20" i="2" s="1"/>
  <c r="AA26" i="2"/>
  <c r="G27" i="2"/>
  <c r="I27" i="2" s="1"/>
  <c r="G23" i="2"/>
  <c r="I23" i="2" s="1"/>
  <c r="G33" i="2"/>
  <c r="I33" i="2" s="1"/>
  <c r="G8" i="2"/>
  <c r="H8" i="2" s="1"/>
  <c r="AA34" i="2"/>
  <c r="G39" i="2"/>
  <c r="H39" i="2" s="1"/>
  <c r="G24" i="2"/>
  <c r="I24" i="2" s="1"/>
  <c r="G29" i="2"/>
  <c r="I29" i="2" s="1"/>
  <c r="U35" i="2"/>
  <c r="F35" i="3" s="1"/>
  <c r="AD35" i="3" s="1"/>
  <c r="F35" i="4" s="1"/>
  <c r="L35" i="4" s="1"/>
  <c r="P35" i="4" s="1"/>
  <c r="U11" i="2"/>
  <c r="AA11" i="2" s="1"/>
  <c r="U5" i="2"/>
  <c r="X5" i="2" s="1"/>
  <c r="T32" i="2"/>
  <c r="W32" i="2" s="1"/>
  <c r="F21" i="3"/>
  <c r="AD21" i="3" s="1"/>
  <c r="F21" i="4" s="1"/>
  <c r="L21" i="4" s="1"/>
  <c r="P21" i="4" s="1"/>
  <c r="AA21" i="2"/>
  <c r="E5" i="3"/>
  <c r="AC5" i="3" s="1"/>
  <c r="E5" i="4" s="1"/>
  <c r="K5" i="4" s="1"/>
  <c r="O5" i="4" s="1"/>
  <c r="W5" i="2"/>
  <c r="Z5" i="2"/>
  <c r="E20" i="3"/>
  <c r="AC20" i="3" s="1"/>
  <c r="E20" i="4" s="1"/>
  <c r="K20" i="4" s="1"/>
  <c r="O20" i="4" s="1"/>
  <c r="E17" i="3"/>
  <c r="AC17" i="3" s="1"/>
  <c r="E17" i="4" s="1"/>
  <c r="K17" i="4" s="1"/>
  <c r="O17" i="4" s="1"/>
  <c r="W17" i="2"/>
  <c r="Q31" i="10"/>
  <c r="U31" i="10"/>
  <c r="V31" i="10" s="1"/>
  <c r="T10" i="2"/>
  <c r="U10" i="2"/>
  <c r="F23" i="3"/>
  <c r="AD23" i="3" s="1"/>
  <c r="F23" i="4" s="1"/>
  <c r="L23" i="4" s="1"/>
  <c r="P23" i="4" s="1"/>
  <c r="X23" i="2"/>
  <c r="W11" i="2"/>
  <c r="X7" i="2"/>
  <c r="Q36" i="10"/>
  <c r="U36" i="10"/>
  <c r="V36" i="10" s="1"/>
  <c r="T21" i="2"/>
  <c r="E22" i="3"/>
  <c r="AC22" i="3" s="1"/>
  <c r="E22" i="4" s="1"/>
  <c r="K22" i="4" s="1"/>
  <c r="O22" i="4" s="1"/>
  <c r="W22" i="2"/>
  <c r="U9" i="2"/>
  <c r="T9" i="2"/>
  <c r="H10" i="2"/>
  <c r="I10" i="2"/>
  <c r="H21" i="2"/>
  <c r="H15" i="2"/>
  <c r="I15" i="2"/>
  <c r="U27" i="10"/>
  <c r="V27" i="10" s="1"/>
  <c r="Q27" i="10"/>
  <c r="U14" i="2"/>
  <c r="T14" i="2"/>
  <c r="F20" i="3"/>
  <c r="AD20" i="3" s="1"/>
  <c r="F20" i="4" s="1"/>
  <c r="L20" i="4" s="1"/>
  <c r="P20" i="4" s="1"/>
  <c r="T29" i="2"/>
  <c r="U29" i="2"/>
  <c r="W7" i="2"/>
  <c r="X40" i="2"/>
  <c r="F40" i="3"/>
  <c r="AD40" i="3" s="1"/>
  <c r="F40" i="4" s="1"/>
  <c r="L40" i="4" s="1"/>
  <c r="P40" i="4" s="1"/>
  <c r="F31" i="3"/>
  <c r="AD31" i="3" s="1"/>
  <c r="F31" i="4" s="1"/>
  <c r="L31" i="4" s="1"/>
  <c r="P31" i="4" s="1"/>
  <c r="I18" i="2"/>
  <c r="H23" i="2"/>
  <c r="I39" i="2"/>
  <c r="I6" i="2"/>
  <c r="E26" i="3"/>
  <c r="AC26" i="3" s="1"/>
  <c r="E26" i="4" s="1"/>
  <c r="K26" i="4" s="1"/>
  <c r="O26" i="4" s="1"/>
  <c r="W26" i="2"/>
  <c r="F39" i="3"/>
  <c r="AD39" i="3" s="1"/>
  <c r="F39" i="4" s="1"/>
  <c r="L39" i="4" s="1"/>
  <c r="P39" i="4" s="1"/>
  <c r="X39" i="2"/>
  <c r="Q24" i="10"/>
  <c r="U24" i="10"/>
  <c r="V24" i="10" s="1"/>
  <c r="F13" i="3"/>
  <c r="AD13" i="3" s="1"/>
  <c r="F13" i="4" s="1"/>
  <c r="L13" i="4" s="1"/>
  <c r="P13" i="4" s="1"/>
  <c r="W27" i="2"/>
  <c r="U36" i="2"/>
  <c r="T36" i="2"/>
  <c r="E18" i="10"/>
  <c r="O18" i="10" s="1"/>
  <c r="P18" i="10" s="1"/>
  <c r="L18" i="2"/>
  <c r="P18" i="2"/>
  <c r="R18" i="2"/>
  <c r="O18" i="2"/>
  <c r="Q18" i="2"/>
  <c r="T38" i="2"/>
  <c r="U38" i="2"/>
  <c r="Z11" i="2"/>
  <c r="H38" i="2"/>
  <c r="H27" i="2"/>
  <c r="H5" i="2"/>
  <c r="I5" i="2"/>
  <c r="I37" i="2"/>
  <c r="H37" i="2"/>
  <c r="I35" i="2"/>
  <c r="I8" i="2"/>
  <c r="I9" i="2"/>
  <c r="H12" i="2"/>
  <c r="I12" i="2"/>
  <c r="AA39" i="2"/>
  <c r="I34" i="2"/>
  <c r="Z27" i="2"/>
  <c r="H20" i="2"/>
  <c r="I20" i="2"/>
  <c r="W16" i="2"/>
  <c r="E16" i="3"/>
  <c r="AC16" i="3" s="1"/>
  <c r="E16" i="4" s="1"/>
  <c r="K16" i="4" s="1"/>
  <c r="O16" i="4" s="1"/>
  <c r="U15" i="2"/>
  <c r="T15" i="2"/>
  <c r="Q8" i="10"/>
  <c r="U8" i="10"/>
  <c r="V8" i="10" s="1"/>
  <c r="U24" i="2"/>
  <c r="T24" i="2"/>
  <c r="W13" i="2"/>
  <c r="E13" i="3"/>
  <c r="AC13" i="3" s="1"/>
  <c r="E13" i="4" s="1"/>
  <c r="K13" i="4" s="1"/>
  <c r="O13" i="4" s="1"/>
  <c r="Q19" i="10"/>
  <c r="U19" i="10"/>
  <c r="V19" i="10" s="1"/>
  <c r="T6" i="2"/>
  <c r="U6" i="2"/>
  <c r="U33" i="2"/>
  <c r="T33" i="2"/>
  <c r="F30" i="3"/>
  <c r="AD30" i="3" s="1"/>
  <c r="F30" i="4" s="1"/>
  <c r="L30" i="4" s="1"/>
  <c r="P30" i="4" s="1"/>
  <c r="X30" i="2"/>
  <c r="AA23" i="2"/>
  <c r="H40" i="2"/>
  <c r="I40" i="2"/>
  <c r="Z13" i="2"/>
  <c r="F16" i="3"/>
  <c r="AD16" i="3" s="1"/>
  <c r="F16" i="4" s="1"/>
  <c r="L16" i="4" s="1"/>
  <c r="P16" i="4" s="1"/>
  <c r="U37" i="2"/>
  <c r="T37" i="2"/>
  <c r="W23" i="2"/>
  <c r="F11" i="3"/>
  <c r="AD11" i="3" s="1"/>
  <c r="F11" i="4" s="1"/>
  <c r="L11" i="4" s="1"/>
  <c r="P11" i="4" s="1"/>
  <c r="U29" i="10"/>
  <c r="V29" i="10" s="1"/>
  <c r="Q29" i="10"/>
  <c r="X22" i="2"/>
  <c r="F22" i="3"/>
  <c r="AD22" i="3" s="1"/>
  <c r="F22" i="4" s="1"/>
  <c r="L22" i="4" s="1"/>
  <c r="P22" i="4" s="1"/>
  <c r="W30" i="2"/>
  <c r="E30" i="3"/>
  <c r="AC30" i="3" s="1"/>
  <c r="E30" i="4" s="1"/>
  <c r="K30" i="4" s="1"/>
  <c r="O30" i="4" s="1"/>
  <c r="I11" i="2"/>
  <c r="H11" i="2"/>
  <c r="Z23" i="2"/>
  <c r="H28" i="2"/>
  <c r="I25" i="2"/>
  <c r="AA22" i="2"/>
  <c r="E12" i="3"/>
  <c r="AC12" i="3" s="1"/>
  <c r="E12" i="4" s="1"/>
  <c r="K12" i="4" s="1"/>
  <c r="O12" i="4" s="1"/>
  <c r="W12" i="2"/>
  <c r="T19" i="2"/>
  <c r="U19" i="2"/>
  <c r="E34" i="3"/>
  <c r="AC34" i="3" s="1"/>
  <c r="E34" i="4" s="1"/>
  <c r="K34" i="4" s="1"/>
  <c r="O34" i="4" s="1"/>
  <c r="W34" i="2"/>
  <c r="T28" i="2"/>
  <c r="U28" i="2"/>
  <c r="F32" i="3"/>
  <c r="AD32" i="3" s="1"/>
  <c r="F32" i="4" s="1"/>
  <c r="L32" i="4" s="1"/>
  <c r="P32" i="4" s="1"/>
  <c r="E40" i="3"/>
  <c r="AC40" i="3" s="1"/>
  <c r="E40" i="4" s="1"/>
  <c r="K40" i="4" s="1"/>
  <c r="O40" i="4" s="1"/>
  <c r="W40" i="2"/>
  <c r="E31" i="3"/>
  <c r="AC31" i="3" s="1"/>
  <c r="E31" i="4" s="1"/>
  <c r="K31" i="4" s="1"/>
  <c r="O31" i="4" s="1"/>
  <c r="F17" i="3"/>
  <c r="AD17" i="3" s="1"/>
  <c r="F17" i="4" s="1"/>
  <c r="L17" i="4" s="1"/>
  <c r="P17" i="4" s="1"/>
  <c r="T25" i="2"/>
  <c r="U25" i="2"/>
  <c r="H7" i="2"/>
  <c r="Z26" i="2"/>
  <c r="Z22" i="2"/>
  <c r="Z30" i="2"/>
  <c r="H36" i="2"/>
  <c r="I16" i="2"/>
  <c r="H16" i="2"/>
  <c r="H26" i="2"/>
  <c r="AA30" i="2"/>
  <c r="AA7" i="2"/>
  <c r="Z12" i="2"/>
  <c r="I19" i="2"/>
  <c r="AA40" i="2"/>
  <c r="H31" i="2"/>
  <c r="I31" i="2"/>
  <c r="W39" i="2"/>
  <c r="E39" i="3"/>
  <c r="AC39" i="3" s="1"/>
  <c r="E39" i="4" s="1"/>
  <c r="K39" i="4" s="1"/>
  <c r="O39" i="4" s="1"/>
  <c r="T8" i="2"/>
  <c r="U8" i="2"/>
  <c r="F34" i="3"/>
  <c r="AD34" i="3" s="1"/>
  <c r="F34" i="4" s="1"/>
  <c r="L34" i="4" s="1"/>
  <c r="P34" i="4" s="1"/>
  <c r="X34" i="2"/>
  <c r="AA16" i="2" l="1"/>
  <c r="X17" i="2"/>
  <c r="Z7" i="2"/>
  <c r="X20" i="2"/>
  <c r="Z32" i="2"/>
  <c r="I32" i="2"/>
  <c r="H30" i="2"/>
  <c r="H29" i="2"/>
  <c r="E32" i="3"/>
  <c r="AC32" i="3" s="1"/>
  <c r="E32" i="4" s="1"/>
  <c r="K32" i="4" s="1"/>
  <c r="O32" i="4" s="1"/>
  <c r="W31" i="2"/>
  <c r="X32" i="2"/>
  <c r="X11" i="2"/>
  <c r="H33" i="2"/>
  <c r="X12" i="2"/>
  <c r="F27" i="3"/>
  <c r="AD27" i="3" s="1"/>
  <c r="F27" i="4" s="1"/>
  <c r="L27" i="4" s="1"/>
  <c r="P27" i="4" s="1"/>
  <c r="E35" i="3"/>
  <c r="AC35" i="3" s="1"/>
  <c r="E35" i="4" s="1"/>
  <c r="K35" i="4" s="1"/>
  <c r="O35" i="4" s="1"/>
  <c r="X35" i="2"/>
  <c r="AA12" i="2"/>
  <c r="H14" i="2"/>
  <c r="AA5" i="2"/>
  <c r="H24" i="2"/>
  <c r="F5" i="3"/>
  <c r="AD5" i="3" s="1"/>
  <c r="F5" i="4" s="1"/>
  <c r="L5" i="4" s="1"/>
  <c r="P5" i="4" s="1"/>
  <c r="AA27" i="2"/>
  <c r="H17" i="2"/>
  <c r="Z35" i="2"/>
  <c r="X13" i="2"/>
  <c r="I22" i="2"/>
  <c r="Z20" i="2"/>
  <c r="AA35" i="2"/>
  <c r="X8" i="2"/>
  <c r="F8" i="3"/>
  <c r="AD8" i="3" s="1"/>
  <c r="F8" i="4" s="1"/>
  <c r="L8" i="4" s="1"/>
  <c r="P8" i="4" s="1"/>
  <c r="AA8" i="2"/>
  <c r="W28" i="2"/>
  <c r="E28" i="3"/>
  <c r="AC28" i="3" s="1"/>
  <c r="E28" i="4" s="1"/>
  <c r="K28" i="4" s="1"/>
  <c r="O28" i="4" s="1"/>
  <c r="Z28" i="2"/>
  <c r="W19" i="2"/>
  <c r="E19" i="3"/>
  <c r="AC19" i="3" s="1"/>
  <c r="E19" i="4" s="1"/>
  <c r="K19" i="4" s="1"/>
  <c r="O19" i="4" s="1"/>
  <c r="Z19" i="2"/>
  <c r="E6" i="3"/>
  <c r="AC6" i="3" s="1"/>
  <c r="E6" i="4" s="1"/>
  <c r="K6" i="4" s="1"/>
  <c r="O6" i="4" s="1"/>
  <c r="W6" i="2"/>
  <c r="Z6" i="2"/>
  <c r="T18" i="2"/>
  <c r="U18" i="2"/>
  <c r="X10" i="2"/>
  <c r="F10" i="3"/>
  <c r="AD10" i="3" s="1"/>
  <c r="F10" i="4" s="1"/>
  <c r="L10" i="4" s="1"/>
  <c r="P10" i="4" s="1"/>
  <c r="AA10" i="2"/>
  <c r="E33" i="3"/>
  <c r="AC33" i="3" s="1"/>
  <c r="E33" i="4" s="1"/>
  <c r="K33" i="4" s="1"/>
  <c r="O33" i="4" s="1"/>
  <c r="W33" i="2"/>
  <c r="Z33" i="2"/>
  <c r="E24" i="3"/>
  <c r="AC24" i="3" s="1"/>
  <c r="E24" i="4" s="1"/>
  <c r="K24" i="4" s="1"/>
  <c r="O24" i="4" s="1"/>
  <c r="W24" i="2"/>
  <c r="Z24" i="2"/>
  <c r="X38" i="2"/>
  <c r="F38" i="3"/>
  <c r="AD38" i="3" s="1"/>
  <c r="F38" i="4" s="1"/>
  <c r="L38" i="4" s="1"/>
  <c r="P38" i="4" s="1"/>
  <c r="AA38" i="2"/>
  <c r="W36" i="2"/>
  <c r="E36" i="3"/>
  <c r="AC36" i="3" s="1"/>
  <c r="E36" i="4" s="1"/>
  <c r="K36" i="4" s="1"/>
  <c r="O36" i="4" s="1"/>
  <c r="Z36" i="2"/>
  <c r="E29" i="3"/>
  <c r="AC29" i="3" s="1"/>
  <c r="E29" i="4" s="1"/>
  <c r="K29" i="4" s="1"/>
  <c r="O29" i="4" s="1"/>
  <c r="W29" i="2"/>
  <c r="Z29" i="2"/>
  <c r="F14" i="3"/>
  <c r="AD14" i="3" s="1"/>
  <c r="F14" i="4" s="1"/>
  <c r="L14" i="4" s="1"/>
  <c r="P14" i="4" s="1"/>
  <c r="X14" i="2"/>
  <c r="AA14" i="2"/>
  <c r="W9" i="2"/>
  <c r="E9" i="3"/>
  <c r="AC9" i="3" s="1"/>
  <c r="E9" i="4" s="1"/>
  <c r="K9" i="4" s="1"/>
  <c r="O9" i="4" s="1"/>
  <c r="Z9" i="2"/>
  <c r="E21" i="3"/>
  <c r="AC21" i="3" s="1"/>
  <c r="E21" i="4" s="1"/>
  <c r="K21" i="4" s="1"/>
  <c r="O21" i="4" s="1"/>
  <c r="W21" i="2"/>
  <c r="Z21" i="2"/>
  <c r="E10" i="3"/>
  <c r="AC10" i="3" s="1"/>
  <c r="E10" i="4" s="1"/>
  <c r="K10" i="4" s="1"/>
  <c r="O10" i="4" s="1"/>
  <c r="W10" i="2"/>
  <c r="Z10" i="2"/>
  <c r="X28" i="2"/>
  <c r="F28" i="3"/>
  <c r="AD28" i="3" s="1"/>
  <c r="F28" i="4" s="1"/>
  <c r="L28" i="4" s="1"/>
  <c r="P28" i="4" s="1"/>
  <c r="AA28" i="2"/>
  <c r="F19" i="3"/>
  <c r="AD19" i="3" s="1"/>
  <c r="F19" i="4" s="1"/>
  <c r="L19" i="4" s="1"/>
  <c r="P19" i="4" s="1"/>
  <c r="X19" i="2"/>
  <c r="AA19" i="2"/>
  <c r="F6" i="3"/>
  <c r="AD6" i="3" s="1"/>
  <c r="F6" i="4" s="1"/>
  <c r="L6" i="4" s="1"/>
  <c r="P6" i="4" s="1"/>
  <c r="X6" i="2"/>
  <c r="AA6" i="2"/>
  <c r="Q18" i="10"/>
  <c r="U18" i="10"/>
  <c r="V18" i="10" s="1"/>
  <c r="X29" i="2"/>
  <c r="F29" i="3"/>
  <c r="AD29" i="3" s="1"/>
  <c r="F29" i="4" s="1"/>
  <c r="L29" i="4" s="1"/>
  <c r="P29" i="4" s="1"/>
  <c r="AA29" i="2"/>
  <c r="W14" i="2"/>
  <c r="E14" i="3"/>
  <c r="AC14" i="3" s="1"/>
  <c r="E14" i="4" s="1"/>
  <c r="K14" i="4" s="1"/>
  <c r="O14" i="4" s="1"/>
  <c r="Z14" i="2"/>
  <c r="E8" i="3"/>
  <c r="AC8" i="3" s="1"/>
  <c r="E8" i="4" s="1"/>
  <c r="K8" i="4" s="1"/>
  <c r="O8" i="4" s="1"/>
  <c r="W8" i="2"/>
  <c r="Z8" i="2"/>
  <c r="F25" i="3"/>
  <c r="AD25" i="3" s="1"/>
  <c r="F25" i="4" s="1"/>
  <c r="L25" i="4" s="1"/>
  <c r="P25" i="4" s="1"/>
  <c r="X25" i="2"/>
  <c r="AA25" i="2"/>
  <c r="W37" i="2"/>
  <c r="E37" i="3"/>
  <c r="AC37" i="3" s="1"/>
  <c r="E37" i="4" s="1"/>
  <c r="K37" i="4" s="1"/>
  <c r="O37" i="4" s="1"/>
  <c r="Z37" i="2"/>
  <c r="W15" i="2"/>
  <c r="E15" i="3"/>
  <c r="AC15" i="3" s="1"/>
  <c r="E15" i="4" s="1"/>
  <c r="K15" i="4" s="1"/>
  <c r="O15" i="4" s="1"/>
  <c r="Z15" i="2"/>
  <c r="W25" i="2"/>
  <c r="E25" i="3"/>
  <c r="AC25" i="3" s="1"/>
  <c r="E25" i="4" s="1"/>
  <c r="K25" i="4" s="1"/>
  <c r="O25" i="4" s="1"/>
  <c r="Z25" i="2"/>
  <c r="F37" i="3"/>
  <c r="AD37" i="3" s="1"/>
  <c r="F37" i="4" s="1"/>
  <c r="L37" i="4" s="1"/>
  <c r="P37" i="4" s="1"/>
  <c r="X37" i="2"/>
  <c r="AA37" i="2"/>
  <c r="X33" i="2"/>
  <c r="F33" i="3"/>
  <c r="AD33" i="3" s="1"/>
  <c r="F33" i="4" s="1"/>
  <c r="L33" i="4" s="1"/>
  <c r="P33" i="4" s="1"/>
  <c r="AA33" i="2"/>
  <c r="X24" i="2"/>
  <c r="F24" i="3"/>
  <c r="AD24" i="3" s="1"/>
  <c r="F24" i="4" s="1"/>
  <c r="L24" i="4" s="1"/>
  <c r="P24" i="4" s="1"/>
  <c r="AA24" i="2"/>
  <c r="F15" i="3"/>
  <c r="AD15" i="3" s="1"/>
  <c r="F15" i="4" s="1"/>
  <c r="L15" i="4" s="1"/>
  <c r="P15" i="4" s="1"/>
  <c r="X15" i="2"/>
  <c r="AA15" i="2"/>
  <c r="W38" i="2"/>
  <c r="E38" i="3"/>
  <c r="AC38" i="3" s="1"/>
  <c r="E38" i="4" s="1"/>
  <c r="K38" i="4" s="1"/>
  <c r="O38" i="4" s="1"/>
  <c r="Z38" i="2"/>
  <c r="F36" i="3"/>
  <c r="AD36" i="3" s="1"/>
  <c r="F36" i="4" s="1"/>
  <c r="L36" i="4" s="1"/>
  <c r="P36" i="4" s="1"/>
  <c r="X36" i="2"/>
  <c r="AA36" i="2"/>
  <c r="F9" i="3"/>
  <c r="AD9" i="3" s="1"/>
  <c r="F9" i="4" s="1"/>
  <c r="L9" i="4" s="1"/>
  <c r="P9" i="4" s="1"/>
  <c r="X9" i="2"/>
  <c r="AA9" i="2"/>
  <c r="X18" i="2" l="1"/>
  <c r="F18" i="3"/>
  <c r="AD18" i="3" s="1"/>
  <c r="F18" i="4" s="1"/>
  <c r="L18" i="4" s="1"/>
  <c r="P18" i="4" s="1"/>
  <c r="AA18" i="2"/>
  <c r="E18" i="3"/>
  <c r="AC18" i="3" s="1"/>
  <c r="E18" i="4" s="1"/>
  <c r="K18" i="4" s="1"/>
  <c r="O18" i="4" s="1"/>
  <c r="W18" i="2"/>
  <c r="Z18" i="2"/>
  <c r="T43" i="10" l="1" a="1"/>
  <c r="X43" i="10" l="1"/>
  <c r="R46" i="4" s="1"/>
  <c r="C34" i="1" s="1"/>
  <c r="W43" i="10"/>
  <c r="R45" i="4" s="1"/>
  <c r="T43" i="10"/>
  <c r="U43" i="10"/>
  <c r="R43" i="4" s="1"/>
  <c r="C31" i="1" s="1"/>
  <c r="V43" i="10"/>
  <c r="R44" i="4" s="1"/>
  <c r="C32" i="1" s="1"/>
  <c r="R42" i="4" l="1"/>
  <c r="R34" i="4" s="1"/>
  <c r="V34" i="4" s="1"/>
  <c r="W8" i="10"/>
  <c r="W23" i="10"/>
  <c r="W27" i="10"/>
  <c r="W39" i="10"/>
  <c r="W31" i="10"/>
  <c r="W6" i="10"/>
  <c r="W35" i="10"/>
  <c r="W37" i="10"/>
  <c r="W7" i="10"/>
  <c r="W26" i="10"/>
  <c r="W36" i="10"/>
  <c r="W5" i="10"/>
  <c r="W13" i="10"/>
  <c r="W24" i="10"/>
  <c r="W16" i="10"/>
  <c r="W38" i="10"/>
  <c r="W22" i="10"/>
  <c r="W30" i="10"/>
  <c r="W25" i="10"/>
  <c r="W29" i="10"/>
  <c r="W14" i="10"/>
  <c r="W17" i="10"/>
  <c r="W9" i="10"/>
  <c r="W11" i="10"/>
  <c r="W34" i="10"/>
  <c r="W40" i="10"/>
  <c r="W19" i="10"/>
  <c r="W33" i="10"/>
  <c r="W12" i="10"/>
  <c r="W28" i="10"/>
  <c r="W32" i="10"/>
  <c r="W15" i="10"/>
  <c r="W10" i="10"/>
  <c r="W18" i="10"/>
  <c r="W20" i="10"/>
  <c r="W21" i="10"/>
  <c r="C33" i="1"/>
  <c r="X33" i="10" l="1"/>
  <c r="AD33" i="10" s="1"/>
  <c r="Y33" i="10"/>
  <c r="Y32" i="10"/>
  <c r="X32" i="10"/>
  <c r="AD32" i="10" s="1"/>
  <c r="X25" i="10"/>
  <c r="AD25" i="10" s="1"/>
  <c r="Y25" i="10"/>
  <c r="Y35" i="10"/>
  <c r="X35" i="10"/>
  <c r="AD35" i="10" s="1"/>
  <c r="Y28" i="10"/>
  <c r="X28" i="10"/>
  <c r="AD28" i="10" s="1"/>
  <c r="X17" i="10"/>
  <c r="AD17" i="10" s="1"/>
  <c r="Y17" i="10"/>
  <c r="Y23" i="10"/>
  <c r="X23" i="10"/>
  <c r="AD23" i="10" s="1"/>
  <c r="Y21" i="10"/>
  <c r="X21" i="10"/>
  <c r="AD21" i="10" s="1"/>
  <c r="Y11" i="10"/>
  <c r="X11" i="10"/>
  <c r="AD11" i="10" s="1"/>
  <c r="Y20" i="10"/>
  <c r="X20" i="10"/>
  <c r="AD20" i="10" s="1"/>
  <c r="Y19" i="10"/>
  <c r="X19" i="10"/>
  <c r="AD19" i="10" s="1"/>
  <c r="X9" i="10"/>
  <c r="AD9" i="10" s="1"/>
  <c r="Y9" i="10"/>
  <c r="Y16" i="10"/>
  <c r="X16" i="10"/>
  <c r="AD16" i="10" s="1"/>
  <c r="X36" i="10"/>
  <c r="AD36" i="10" s="1"/>
  <c r="Y36" i="10"/>
  <c r="X27" i="10"/>
  <c r="AD27" i="10" s="1"/>
  <c r="Y27" i="10"/>
  <c r="X18" i="10"/>
  <c r="AD18" i="10" s="1"/>
  <c r="Y18" i="10"/>
  <c r="Y40" i="10"/>
  <c r="X40" i="10"/>
  <c r="AD40" i="10" s="1"/>
  <c r="X30" i="10"/>
  <c r="AD30" i="10" s="1"/>
  <c r="Y30" i="10"/>
  <c r="X24" i="10"/>
  <c r="AD24" i="10" s="1"/>
  <c r="Y24" i="10"/>
  <c r="Y26" i="10"/>
  <c r="X26" i="10"/>
  <c r="AD26" i="10" s="1"/>
  <c r="Y6" i="10"/>
  <c r="X6" i="10"/>
  <c r="AD6" i="10" s="1"/>
  <c r="X10" i="10"/>
  <c r="AD10" i="10" s="1"/>
  <c r="Y10" i="10"/>
  <c r="X12" i="10"/>
  <c r="AD12" i="10" s="1"/>
  <c r="Y12" i="10"/>
  <c r="X34" i="10"/>
  <c r="AD34" i="10" s="1"/>
  <c r="Y34" i="10"/>
  <c r="X14" i="10"/>
  <c r="AD14" i="10" s="1"/>
  <c r="Y14" i="10"/>
  <c r="X22" i="10"/>
  <c r="AD22" i="10" s="1"/>
  <c r="Y22" i="10"/>
  <c r="X13" i="10"/>
  <c r="AD13" i="10" s="1"/>
  <c r="Y13" i="10"/>
  <c r="X7" i="10"/>
  <c r="AD7" i="10" s="1"/>
  <c r="Y7" i="10"/>
  <c r="X31" i="10"/>
  <c r="AD31" i="10" s="1"/>
  <c r="Y31" i="10"/>
  <c r="X8" i="10"/>
  <c r="AD8" i="10" s="1"/>
  <c r="Y8" i="10"/>
  <c r="Y15" i="10"/>
  <c r="X15" i="10"/>
  <c r="AD15" i="10" s="1"/>
  <c r="Y29" i="10"/>
  <c r="X29" i="10"/>
  <c r="AD29" i="10" s="1"/>
  <c r="Y38" i="10"/>
  <c r="X38" i="10"/>
  <c r="AD38" i="10" s="1"/>
  <c r="Y5" i="10"/>
  <c r="X5" i="10"/>
  <c r="AD5" i="10" s="1"/>
  <c r="X37" i="10"/>
  <c r="AD37" i="10" s="1"/>
  <c r="Y37" i="10"/>
  <c r="Y39" i="10"/>
  <c r="X39" i="10"/>
  <c r="AD39" i="10" s="1"/>
  <c r="C30" i="1"/>
  <c r="S24" i="4"/>
  <c r="W24" i="4" s="1"/>
  <c r="R26" i="4"/>
  <c r="V26" i="4" s="1"/>
  <c r="R6" i="4"/>
  <c r="V6" i="4" s="1"/>
  <c r="R31" i="4"/>
  <c r="V31" i="4" s="1"/>
  <c r="R23" i="4"/>
  <c r="V23" i="4" s="1"/>
  <c r="T27" i="4"/>
  <c r="X27" i="4" s="1"/>
  <c r="S9" i="4"/>
  <c r="W9" i="4" s="1"/>
  <c r="R5" i="4"/>
  <c r="V5" i="4" s="1"/>
  <c r="T26" i="4"/>
  <c r="X26" i="4" s="1"/>
  <c r="R21" i="4"/>
  <c r="V21" i="4" s="1"/>
  <c r="R25" i="4"/>
  <c r="V25" i="4" s="1"/>
  <c r="R40" i="4"/>
  <c r="V40" i="4" s="1"/>
  <c r="T34" i="4"/>
  <c r="X34" i="4" s="1"/>
  <c r="T32" i="4"/>
  <c r="X32" i="4" s="1"/>
  <c r="R14" i="4"/>
  <c r="V14" i="4" s="1"/>
  <c r="S32" i="4"/>
  <c r="W32" i="4" s="1"/>
  <c r="S17" i="4"/>
  <c r="W17" i="4" s="1"/>
  <c r="S25" i="4"/>
  <c r="W25" i="4" s="1"/>
  <c r="S18" i="4"/>
  <c r="W18" i="4" s="1"/>
  <c r="T16" i="4"/>
  <c r="X16" i="4" s="1"/>
  <c r="S15" i="4"/>
  <c r="W15" i="4" s="1"/>
  <c r="R11" i="4"/>
  <c r="V11" i="4" s="1"/>
  <c r="R28" i="4"/>
  <c r="V28" i="4" s="1"/>
  <c r="T38" i="4"/>
  <c r="X38" i="4" s="1"/>
  <c r="T24" i="4"/>
  <c r="X24" i="4" s="1"/>
  <c r="T35" i="4"/>
  <c r="X35" i="4" s="1"/>
  <c r="S14" i="4"/>
  <c r="W14" i="4" s="1"/>
  <c r="R9" i="4"/>
  <c r="V9" i="4" s="1"/>
  <c r="T8" i="4"/>
  <c r="X8" i="4" s="1"/>
  <c r="R39" i="4"/>
  <c r="V39" i="4" s="1"/>
  <c r="T29" i="4"/>
  <c r="X29" i="4" s="1"/>
  <c r="S10" i="4"/>
  <c r="W10" i="4" s="1"/>
  <c r="S33" i="4"/>
  <c r="W33" i="4" s="1"/>
  <c r="S19" i="4"/>
  <c r="W19" i="4" s="1"/>
  <c r="R35" i="4"/>
  <c r="V35" i="4" s="1"/>
  <c r="S26" i="4"/>
  <c r="W26" i="4" s="1"/>
  <c r="R38" i="4"/>
  <c r="V38" i="4" s="1"/>
  <c r="T40" i="4"/>
  <c r="X40" i="4" s="1"/>
  <c r="T15" i="4"/>
  <c r="X15" i="4" s="1"/>
  <c r="S35" i="4"/>
  <c r="W35" i="4" s="1"/>
  <c r="S27" i="4"/>
  <c r="W27" i="4" s="1"/>
  <c r="S11" i="4"/>
  <c r="W11" i="4" s="1"/>
  <c r="T9" i="4"/>
  <c r="X9" i="4" s="1"/>
  <c r="T11" i="4"/>
  <c r="X11" i="4" s="1"/>
  <c r="T19" i="4"/>
  <c r="X19" i="4" s="1"/>
  <c r="R33" i="4"/>
  <c r="V33" i="4" s="1"/>
  <c r="T30" i="4"/>
  <c r="X30" i="4" s="1"/>
  <c r="R27" i="4"/>
  <c r="V27" i="4" s="1"/>
  <c r="S8" i="4"/>
  <c r="W8" i="4" s="1"/>
  <c r="T5" i="4"/>
  <c r="X5" i="4" s="1"/>
  <c r="R20" i="4"/>
  <c r="V20" i="4" s="1"/>
  <c r="T12" i="4"/>
  <c r="X12" i="4" s="1"/>
  <c r="S30" i="4"/>
  <c r="W30" i="4" s="1"/>
  <c r="R10" i="4"/>
  <c r="V10" i="4" s="1"/>
  <c r="T33" i="4"/>
  <c r="X33" i="4" s="1"/>
  <c r="T31" i="4"/>
  <c r="X31" i="4" s="1"/>
  <c r="S5" i="4"/>
  <c r="W5" i="4" s="1"/>
  <c r="R36" i="4"/>
  <c r="V36" i="4" s="1"/>
  <c r="T22" i="4"/>
  <c r="X22" i="4" s="1"/>
  <c r="S16" i="4"/>
  <c r="W16" i="4" s="1"/>
  <c r="T7" i="4"/>
  <c r="X7" i="4" s="1"/>
  <c r="S28" i="4"/>
  <c r="W28" i="4" s="1"/>
  <c r="S36" i="4"/>
  <c r="W36" i="4" s="1"/>
  <c r="T37" i="4"/>
  <c r="X37" i="4" s="1"/>
  <c r="R17" i="4"/>
  <c r="V17" i="4" s="1"/>
  <c r="T17" i="4"/>
  <c r="X17" i="4" s="1"/>
  <c r="T25" i="4"/>
  <c r="X25" i="4" s="1"/>
  <c r="T10" i="4"/>
  <c r="X10" i="4" s="1"/>
  <c r="S7" i="4"/>
  <c r="W7" i="4" s="1"/>
  <c r="S23" i="4"/>
  <c r="W23" i="4" s="1"/>
  <c r="R37" i="4"/>
  <c r="V37" i="4" s="1"/>
  <c r="T13" i="4"/>
  <c r="X13" i="4" s="1"/>
  <c r="R22" i="4"/>
  <c r="V22" i="4" s="1"/>
  <c r="S37" i="4"/>
  <c r="W37" i="4" s="1"/>
  <c r="T18" i="4"/>
  <c r="X18" i="4" s="1"/>
  <c r="T21" i="4"/>
  <c r="X21" i="4" s="1"/>
  <c r="R29" i="4"/>
  <c r="V29" i="4" s="1"/>
  <c r="S34" i="4"/>
  <c r="W34" i="4" s="1"/>
  <c r="R16" i="4"/>
  <c r="V16" i="4" s="1"/>
  <c r="S39" i="4"/>
  <c r="W39" i="4" s="1"/>
  <c r="S40" i="4"/>
  <c r="W40" i="4" s="1"/>
  <c r="S12" i="4"/>
  <c r="W12" i="4" s="1"/>
  <c r="R18" i="4"/>
  <c r="V18" i="4" s="1"/>
  <c r="T39" i="4"/>
  <c r="X39" i="4" s="1"/>
  <c r="R32" i="4"/>
  <c r="V32" i="4" s="1"/>
  <c r="R13" i="4"/>
  <c r="V13" i="4" s="1"/>
  <c r="S22" i="4"/>
  <c r="W22" i="4" s="1"/>
  <c r="S13" i="4"/>
  <c r="W13" i="4" s="1"/>
  <c r="T23" i="4"/>
  <c r="X23" i="4" s="1"/>
  <c r="R12" i="4"/>
  <c r="V12" i="4" s="1"/>
  <c r="S38" i="4"/>
  <c r="W38" i="4" s="1"/>
  <c r="R15" i="4"/>
  <c r="V15" i="4" s="1"/>
  <c r="S20" i="4"/>
  <c r="W20" i="4" s="1"/>
  <c r="T14" i="4"/>
  <c r="X14" i="4" s="1"/>
  <c r="T36" i="4"/>
  <c r="X36" i="4" s="1"/>
  <c r="R7" i="4"/>
  <c r="V7" i="4" s="1"/>
  <c r="T28" i="4"/>
  <c r="X28" i="4" s="1"/>
  <c r="S21" i="4"/>
  <c r="W21" i="4" s="1"/>
  <c r="R8" i="4"/>
  <c r="V8" i="4" s="1"/>
  <c r="T20" i="4"/>
  <c r="X20" i="4" s="1"/>
  <c r="T6" i="4"/>
  <c r="X6" i="4" s="1"/>
  <c r="R19" i="4"/>
  <c r="V19" i="4" s="1"/>
  <c r="S31" i="4"/>
  <c r="W31" i="4" s="1"/>
  <c r="R24" i="4"/>
  <c r="V24" i="4" s="1"/>
  <c r="S29" i="4"/>
  <c r="W29" i="4" s="1"/>
  <c r="R30" i="4"/>
  <c r="V30" i="4" s="1"/>
  <c r="S6" i="4"/>
  <c r="W6" i="4" s="1"/>
  <c r="AD43" i="10" l="1" a="1"/>
  <c r="AG43" i="10"/>
  <c r="Z46" i="4" s="1"/>
  <c r="E33" i="1" s="1"/>
  <c r="AD43" i="10"/>
  <c r="AE43" i="10"/>
  <c r="Z44" i="4" s="1"/>
  <c r="E31" i="1" s="1"/>
  <c r="AF43" i="10"/>
  <c r="Z45" i="4" s="1"/>
  <c r="E32" i="1" s="1"/>
  <c r="AG10" i="10" l="1"/>
  <c r="AI10" i="10" s="1"/>
  <c r="AG28" i="10"/>
  <c r="AI28" i="10" s="1"/>
  <c r="AG34" i="10"/>
  <c r="AI34" i="10" s="1"/>
  <c r="AG12" i="10"/>
  <c r="AI12" i="10" s="1"/>
  <c r="AG24" i="10"/>
  <c r="AI24" i="10" s="1"/>
  <c r="AG13" i="10"/>
  <c r="AI13" i="10" s="1"/>
  <c r="AG20" i="10"/>
  <c r="AI20" i="10" s="1"/>
  <c r="AG5" i="10"/>
  <c r="AI5" i="10" s="1"/>
  <c r="AG16" i="10"/>
  <c r="AI16" i="10" s="1"/>
  <c r="AG33" i="10"/>
  <c r="AI33" i="10" s="1"/>
  <c r="AG23" i="10"/>
  <c r="AI23" i="10" s="1"/>
  <c r="AG6" i="10"/>
  <c r="AI6" i="10" s="1"/>
  <c r="AG19" i="10"/>
  <c r="AI19" i="10" s="1"/>
  <c r="AG17" i="10"/>
  <c r="AI17" i="10" s="1"/>
  <c r="AG22" i="10"/>
  <c r="AI22" i="10" s="1"/>
  <c r="AG7" i="10"/>
  <c r="AI7" i="10" s="1"/>
  <c r="AG11" i="10"/>
  <c r="AI11" i="10" s="1"/>
  <c r="AG37" i="10"/>
  <c r="AI37" i="10" s="1"/>
  <c r="Z43" i="4"/>
  <c r="AG31" i="10"/>
  <c r="AI31" i="10" s="1"/>
  <c r="AG25" i="10"/>
  <c r="AI25" i="10" s="1"/>
  <c r="AG27" i="10"/>
  <c r="AI27" i="10" s="1"/>
  <c r="AG8" i="10"/>
  <c r="AI8" i="10" s="1"/>
  <c r="AG32" i="10"/>
  <c r="AI32" i="10" s="1"/>
  <c r="AG21" i="10"/>
  <c r="AI21" i="10" s="1"/>
  <c r="AG35" i="10"/>
  <c r="AI35" i="10" s="1"/>
  <c r="AG39" i="10"/>
  <c r="AI39" i="10" s="1"/>
  <c r="AG29" i="10"/>
  <c r="AI29" i="10" s="1"/>
  <c r="AG38" i="10"/>
  <c r="AI38" i="10" s="1"/>
  <c r="AG26" i="10"/>
  <c r="AI26" i="10" s="1"/>
  <c r="AG9" i="10"/>
  <c r="AI9" i="10" s="1"/>
  <c r="AG40" i="10"/>
  <c r="AI40" i="10" s="1"/>
  <c r="AG36" i="10"/>
  <c r="AI36" i="10" s="1"/>
  <c r="AG15" i="10"/>
  <c r="AI15" i="10" s="1"/>
  <c r="AG30" i="10"/>
  <c r="AI30" i="10" s="1"/>
  <c r="AG14" i="10"/>
  <c r="AI14" i="10" s="1"/>
  <c r="AG18" i="10"/>
  <c r="AI18" i="10" s="1"/>
  <c r="Z18" i="4" l="1"/>
  <c r="AD18" i="4" s="1"/>
  <c r="AB18" i="4"/>
  <c r="AF18" i="4" s="1"/>
  <c r="Z29" i="4"/>
  <c r="AD29" i="4" s="1"/>
  <c r="Z14" i="4"/>
  <c r="AD14" i="4" s="1"/>
  <c r="AB35" i="4"/>
  <c r="AF35" i="4" s="1"/>
  <c r="Z6" i="4"/>
  <c r="AD6" i="4" s="1"/>
  <c r="AB16" i="4"/>
  <c r="AF16" i="4" s="1"/>
  <c r="AA16" i="4"/>
  <c r="AE16" i="4" s="1"/>
  <c r="AB22" i="4"/>
  <c r="AF22" i="4" s="1"/>
  <c r="AA7" i="4"/>
  <c r="AE7" i="4" s="1"/>
  <c r="Z24" i="4"/>
  <c r="AD24" i="4" s="1"/>
  <c r="AA36" i="4"/>
  <c r="AE36" i="4" s="1"/>
  <c r="AB34" i="4"/>
  <c r="AF34" i="4" s="1"/>
  <c r="AB5" i="4"/>
  <c r="AF5" i="4" s="1"/>
  <c r="Z38" i="4"/>
  <c r="AD38" i="4" s="1"/>
  <c r="AA19" i="4"/>
  <c r="AE19" i="4" s="1"/>
  <c r="AB27" i="4"/>
  <c r="AF27" i="4" s="1"/>
  <c r="AA17" i="4"/>
  <c r="AE17" i="4" s="1"/>
  <c r="AB38" i="4"/>
  <c r="AF38" i="4" s="1"/>
  <c r="AB6" i="4"/>
  <c r="AF6" i="4" s="1"/>
  <c r="Z5" i="4"/>
  <c r="AD5" i="4" s="1"/>
  <c r="AA21" i="4"/>
  <c r="AE21" i="4" s="1"/>
  <c r="AA29" i="4"/>
  <c r="AE29" i="4" s="1"/>
  <c r="Z25" i="4"/>
  <c r="AD25" i="4" s="1"/>
  <c r="AB7" i="4"/>
  <c r="AF7" i="4" s="1"/>
  <c r="AA23" i="4"/>
  <c r="AE23" i="4" s="1"/>
  <c r="AB26" i="4"/>
  <c r="AF26" i="4" s="1"/>
  <c r="AB31" i="4"/>
  <c r="AF31" i="4" s="1"/>
  <c r="AB30" i="4"/>
  <c r="AF30" i="4" s="1"/>
  <c r="Z13" i="4"/>
  <c r="AD13" i="4" s="1"/>
  <c r="Z33" i="4"/>
  <c r="AD33" i="4" s="1"/>
  <c r="AB11" i="4"/>
  <c r="AF11" i="4" s="1"/>
  <c r="AA24" i="4"/>
  <c r="AE24" i="4" s="1"/>
  <c r="AB20" i="4"/>
  <c r="AF20" i="4" s="1"/>
  <c r="AA20" i="4"/>
  <c r="AE20" i="4" s="1"/>
  <c r="AA40" i="4"/>
  <c r="AE40" i="4" s="1"/>
  <c r="Z20" i="4"/>
  <c r="AD20" i="4" s="1"/>
  <c r="Z16" i="4"/>
  <c r="AD16" i="4" s="1"/>
  <c r="AA26" i="4"/>
  <c r="AE26" i="4" s="1"/>
  <c r="AA31" i="4"/>
  <c r="AE31" i="4" s="1"/>
  <c r="AB19" i="4"/>
  <c r="AF19" i="4" s="1"/>
  <c r="AB21" i="4"/>
  <c r="AF21" i="4" s="1"/>
  <c r="Z36" i="4"/>
  <c r="AD36" i="4" s="1"/>
  <c r="AB17" i="4"/>
  <c r="AF17" i="4" s="1"/>
  <c r="AA30" i="4"/>
  <c r="AE30" i="4" s="1"/>
  <c r="AA39" i="4"/>
  <c r="AE39" i="4" s="1"/>
  <c r="Z26" i="4"/>
  <c r="AD26" i="4" s="1"/>
  <c r="AB29" i="4"/>
  <c r="AF29" i="4" s="1"/>
  <c r="AB14" i="4"/>
  <c r="AF14" i="4" s="1"/>
  <c r="AB33" i="4"/>
  <c r="AF33" i="4" s="1"/>
  <c r="Z31" i="4"/>
  <c r="AD31" i="4" s="1"/>
  <c r="Z35" i="4"/>
  <c r="AD35" i="4" s="1"/>
  <c r="AA22" i="4"/>
  <c r="AE22" i="4" s="1"/>
  <c r="AA6" i="4"/>
  <c r="AE6" i="4" s="1"/>
  <c r="AA37" i="4"/>
  <c r="AE37" i="4" s="1"/>
  <c r="AB10" i="4"/>
  <c r="AF10" i="4" s="1"/>
  <c r="AA10" i="4"/>
  <c r="AE10" i="4" s="1"/>
  <c r="Z17" i="4"/>
  <c r="AD17" i="4" s="1"/>
  <c r="Z19" i="4"/>
  <c r="AD19" i="4" s="1"/>
  <c r="AA15" i="4"/>
  <c r="AE15" i="4" s="1"/>
  <c r="AB15" i="4"/>
  <c r="AF15" i="4" s="1"/>
  <c r="Z11" i="4"/>
  <c r="AD11" i="4" s="1"/>
  <c r="Z27" i="4"/>
  <c r="AD27" i="4" s="1"/>
  <c r="AB12" i="4"/>
  <c r="AF12" i="4" s="1"/>
  <c r="AA32" i="4"/>
  <c r="AE32" i="4" s="1"/>
  <c r="Z21" i="4"/>
  <c r="AD21" i="4" s="1"/>
  <c r="AA9" i="4"/>
  <c r="AE9" i="4" s="1"/>
  <c r="AA33" i="4"/>
  <c r="AE33" i="4" s="1"/>
  <c r="AB13" i="4"/>
  <c r="AF13" i="4" s="1"/>
  <c r="Z30" i="4"/>
  <c r="AD30" i="4" s="1"/>
  <c r="Z28" i="4"/>
  <c r="AD28" i="4" s="1"/>
  <c r="AA12" i="4"/>
  <c r="AE12" i="4" s="1"/>
  <c r="AB40" i="4"/>
  <c r="AF40" i="4" s="1"/>
  <c r="AB24" i="4"/>
  <c r="AF24" i="4" s="1"/>
  <c r="Z23" i="4"/>
  <c r="AD23" i="4" s="1"/>
  <c r="Z39" i="4"/>
  <c r="AD39" i="4" s="1"/>
  <c r="AB25" i="4"/>
  <c r="AF25" i="4" s="1"/>
  <c r="AB8" i="4"/>
  <c r="AF8" i="4" s="1"/>
  <c r="Z32" i="4"/>
  <c r="AD32" i="4" s="1"/>
  <c r="AB36" i="4"/>
  <c r="AF36" i="4" s="1"/>
  <c r="Z8" i="4"/>
  <c r="AD8" i="4" s="1"/>
  <c r="Z40" i="4"/>
  <c r="AD40" i="4" s="1"/>
  <c r="AB37" i="4"/>
  <c r="AF37" i="4" s="1"/>
  <c r="AB23" i="4"/>
  <c r="AF23" i="4" s="1"/>
  <c r="AA5" i="4"/>
  <c r="AE5" i="4" s="1"/>
  <c r="AA8" i="4"/>
  <c r="AE8" i="4" s="1"/>
  <c r="AA35" i="4"/>
  <c r="AE35" i="4" s="1"/>
  <c r="AB28" i="4"/>
  <c r="AF28" i="4" s="1"/>
  <c r="Z37" i="4"/>
  <c r="AD37" i="4" s="1"/>
  <c r="AA28" i="4"/>
  <c r="AE28" i="4" s="1"/>
  <c r="E30" i="1"/>
  <c r="AA34" i="4"/>
  <c r="AE34" i="4" s="1"/>
  <c r="AB32" i="4"/>
  <c r="AF32" i="4" s="1"/>
  <c r="Z9" i="4"/>
  <c r="AD9" i="4" s="1"/>
  <c r="Z7" i="4"/>
  <c r="AD7" i="4" s="1"/>
  <c r="Z15" i="4"/>
  <c r="AD15" i="4" s="1"/>
  <c r="Z12" i="4"/>
  <c r="AD12" i="4" s="1"/>
  <c r="AB39" i="4"/>
  <c r="AF39" i="4" s="1"/>
  <c r="AA18" i="4"/>
  <c r="AE18" i="4" s="1"/>
  <c r="AB9" i="4"/>
  <c r="AF9" i="4" s="1"/>
  <c r="AA25" i="4"/>
  <c r="AE25" i="4" s="1"/>
  <c r="AA38" i="4"/>
  <c r="AE38" i="4" s="1"/>
  <c r="AA14" i="4"/>
  <c r="AE14" i="4" s="1"/>
  <c r="AA11" i="4"/>
  <c r="AE11" i="4" s="1"/>
  <c r="Z34" i="4"/>
  <c r="AD34" i="4" s="1"/>
  <c r="Z10" i="4"/>
  <c r="AD10" i="4" s="1"/>
  <c r="AA27" i="4"/>
  <c r="AE27" i="4" s="1"/>
  <c r="Z22" i="4"/>
  <c r="AD22" i="4" s="1"/>
  <c r="AA13" i="4"/>
  <c r="AE13" i="4" s="1"/>
  <c r="AN34" i="4" l="1"/>
  <c r="AR34" i="4" s="1"/>
  <c r="AH34" i="4"/>
  <c r="AH12" i="4"/>
  <c r="AN12" i="4"/>
  <c r="AR12" i="4" s="1"/>
  <c r="AP25" i="4"/>
  <c r="AT25" i="4" s="1"/>
  <c r="AJ25" i="4"/>
  <c r="AO32" i="4"/>
  <c r="AS32" i="4" s="1"/>
  <c r="AI32" i="4"/>
  <c r="AO22" i="4"/>
  <c r="AS22" i="4" s="1"/>
  <c r="AI22" i="4"/>
  <c r="AP19" i="4"/>
  <c r="AT19" i="4" s="1"/>
  <c r="AJ19" i="4"/>
  <c r="AP30" i="4"/>
  <c r="AT30" i="4" s="1"/>
  <c r="AJ30" i="4"/>
  <c r="AP34" i="4"/>
  <c r="AT34" i="4" s="1"/>
  <c r="AJ34" i="4"/>
  <c r="AN18" i="4"/>
  <c r="AR18" i="4" s="1"/>
  <c r="AH18" i="4"/>
  <c r="AP9" i="4"/>
  <c r="AT9" i="4" s="1"/>
  <c r="AJ9" i="4"/>
  <c r="AP23" i="4"/>
  <c r="AT23" i="4" s="1"/>
  <c r="AJ23" i="4"/>
  <c r="AI12" i="4"/>
  <c r="AO12" i="4"/>
  <c r="AS12" i="4" s="1"/>
  <c r="AO15" i="4"/>
  <c r="AS15" i="4" s="1"/>
  <c r="AI15" i="4"/>
  <c r="AN35" i="4"/>
  <c r="AR35" i="4" s="1"/>
  <c r="AH35" i="4"/>
  <c r="AP29" i="4"/>
  <c r="AT29" i="4" s="1"/>
  <c r="AJ29" i="4"/>
  <c r="AJ17" i="4"/>
  <c r="AP17" i="4"/>
  <c r="AT17" i="4" s="1"/>
  <c r="AO31" i="4"/>
  <c r="AS31" i="4" s="1"/>
  <c r="AI31" i="4"/>
  <c r="AO40" i="4"/>
  <c r="AS40" i="4" s="1"/>
  <c r="AI40" i="4"/>
  <c r="AJ11" i="4"/>
  <c r="AP11" i="4"/>
  <c r="AT11" i="4" s="1"/>
  <c r="AP31" i="4"/>
  <c r="AT31" i="4" s="1"/>
  <c r="AJ31" i="4"/>
  <c r="AN25" i="4"/>
  <c r="AR25" i="4" s="1"/>
  <c r="AH25" i="4"/>
  <c r="AJ6" i="4"/>
  <c r="AP6" i="4"/>
  <c r="AT6" i="4" s="1"/>
  <c r="AO19" i="4"/>
  <c r="AS19" i="4" s="1"/>
  <c r="AI19" i="4"/>
  <c r="AO36" i="4"/>
  <c r="AS36" i="4" s="1"/>
  <c r="AI36" i="4"/>
  <c r="AO16" i="4"/>
  <c r="AS16" i="4" s="1"/>
  <c r="AI16" i="4"/>
  <c r="AH14" i="4"/>
  <c r="AN14" i="4"/>
  <c r="AR14" i="4" s="1"/>
  <c r="AO13" i="4"/>
  <c r="AS13" i="4" s="1"/>
  <c r="AI13" i="4"/>
  <c r="AJ32" i="4"/>
  <c r="AP32" i="4"/>
  <c r="AT32" i="4" s="1"/>
  <c r="AN8" i="4"/>
  <c r="AR8" i="4" s="1"/>
  <c r="AH8" i="4"/>
  <c r="AP13" i="4"/>
  <c r="AT13" i="4" s="1"/>
  <c r="AJ13" i="4"/>
  <c r="AO10" i="4"/>
  <c r="AS10" i="4" s="1"/>
  <c r="AI10" i="4"/>
  <c r="AH20" i="4"/>
  <c r="AN20" i="4"/>
  <c r="AR20" i="4" s="1"/>
  <c r="AH5" i="4"/>
  <c r="AN5" i="4"/>
  <c r="AR5" i="4" s="1"/>
  <c r="AJ22" i="4"/>
  <c r="AP22" i="4"/>
  <c r="AT22" i="4" s="1"/>
  <c r="AH22" i="4"/>
  <c r="AN22" i="4"/>
  <c r="AR22" i="4" s="1"/>
  <c r="AO34" i="4"/>
  <c r="AS34" i="4" s="1"/>
  <c r="AI34" i="4"/>
  <c r="AJ36" i="4"/>
  <c r="AP36" i="4"/>
  <c r="AT36" i="4" s="1"/>
  <c r="AJ12" i="4"/>
  <c r="AP12" i="4"/>
  <c r="AT12" i="4" s="1"/>
  <c r="AI27" i="4"/>
  <c r="AO27" i="4"/>
  <c r="AS27" i="4" s="1"/>
  <c r="AH7" i="4"/>
  <c r="AN7" i="4"/>
  <c r="AR7" i="4" s="1"/>
  <c r="AJ37" i="4"/>
  <c r="AP37" i="4"/>
  <c r="AT37" i="4" s="1"/>
  <c r="AH23" i="4"/>
  <c r="AN23" i="4"/>
  <c r="AR23" i="4" s="1"/>
  <c r="AI9" i="4"/>
  <c r="AO9" i="4"/>
  <c r="AS9" i="4" s="1"/>
  <c r="AH27" i="4"/>
  <c r="AN27" i="4"/>
  <c r="AR27" i="4" s="1"/>
  <c r="AH19" i="4"/>
  <c r="AN19" i="4"/>
  <c r="AR19" i="4" s="1"/>
  <c r="AI37" i="4"/>
  <c r="AO37" i="4"/>
  <c r="AS37" i="4" s="1"/>
  <c r="AH31" i="4"/>
  <c r="AN31" i="4"/>
  <c r="AR31" i="4" s="1"/>
  <c r="AH26" i="4"/>
  <c r="AN26" i="4"/>
  <c r="AR26" i="4" s="1"/>
  <c r="AN36" i="4"/>
  <c r="AR36" i="4" s="1"/>
  <c r="AH36" i="4"/>
  <c r="AO26" i="4"/>
  <c r="AS26" i="4" s="1"/>
  <c r="AI26" i="4"/>
  <c r="AI20" i="4"/>
  <c r="AO20" i="4"/>
  <c r="AS20" i="4" s="1"/>
  <c r="AH33" i="4"/>
  <c r="AN33" i="4"/>
  <c r="AR33" i="4" s="1"/>
  <c r="AP26" i="4"/>
  <c r="AT26" i="4" s="1"/>
  <c r="AJ26" i="4"/>
  <c r="AI29" i="4"/>
  <c r="AO29" i="4"/>
  <c r="AS29" i="4" s="1"/>
  <c r="AJ38" i="4"/>
  <c r="AP38" i="4"/>
  <c r="AT38" i="4" s="1"/>
  <c r="AN38" i="4"/>
  <c r="AR38" i="4" s="1"/>
  <c r="AH38" i="4"/>
  <c r="AN24" i="4"/>
  <c r="AR24" i="4" s="1"/>
  <c r="AH24" i="4"/>
  <c r="AJ16" i="4"/>
  <c r="AP16" i="4"/>
  <c r="AT16" i="4" s="1"/>
  <c r="AH29" i="4"/>
  <c r="AN29" i="4"/>
  <c r="AR29" i="4" s="1"/>
  <c r="AO25" i="4"/>
  <c r="AS25" i="4" s="1"/>
  <c r="AI25" i="4"/>
  <c r="AH37" i="4"/>
  <c r="AN37" i="4"/>
  <c r="AR37" i="4" s="1"/>
  <c r="AI5" i="4"/>
  <c r="AO5" i="4"/>
  <c r="AS5" i="4" s="1"/>
  <c r="AJ40" i="4"/>
  <c r="AP40" i="4"/>
  <c r="AT40" i="4" s="1"/>
  <c r="AJ15" i="4"/>
  <c r="AP15" i="4"/>
  <c r="AT15" i="4" s="1"/>
  <c r="AJ14" i="4"/>
  <c r="AP14" i="4"/>
  <c r="AT14" i="4" s="1"/>
  <c r="AO30" i="4"/>
  <c r="AS30" i="4" s="1"/>
  <c r="AI30" i="4"/>
  <c r="AI24" i="4"/>
  <c r="AO24" i="4"/>
  <c r="AS24" i="4" s="1"/>
  <c r="AJ7" i="4"/>
  <c r="AP7" i="4"/>
  <c r="AT7" i="4" s="1"/>
  <c r="AP27" i="4"/>
  <c r="AT27" i="4" s="1"/>
  <c r="AJ27" i="4"/>
  <c r="AJ35" i="4"/>
  <c r="AP35" i="4"/>
  <c r="AT35" i="4" s="1"/>
  <c r="AO11" i="4"/>
  <c r="AS11" i="4" s="1"/>
  <c r="AI11" i="4"/>
  <c r="AN15" i="4"/>
  <c r="AR15" i="4" s="1"/>
  <c r="AH15" i="4"/>
  <c r="AP28" i="4"/>
  <c r="AT28" i="4" s="1"/>
  <c r="AJ28" i="4"/>
  <c r="AH39" i="4"/>
  <c r="AN39" i="4"/>
  <c r="AR39" i="4" s="1"/>
  <c r="AO33" i="4"/>
  <c r="AS33" i="4" s="1"/>
  <c r="AI33" i="4"/>
  <c r="AJ10" i="4"/>
  <c r="AP10" i="4"/>
  <c r="AT10" i="4" s="1"/>
  <c r="AO14" i="4"/>
  <c r="AS14" i="4" s="1"/>
  <c r="AI14" i="4"/>
  <c r="AI18" i="4"/>
  <c r="AO18" i="4"/>
  <c r="AS18" i="4" s="1"/>
  <c r="AO35" i="4"/>
  <c r="AS35" i="4" s="1"/>
  <c r="AI35" i="4"/>
  <c r="AN32" i="4"/>
  <c r="AR32" i="4" s="1"/>
  <c r="AH32" i="4"/>
  <c r="AN28" i="4"/>
  <c r="AR28" i="4" s="1"/>
  <c r="AH28" i="4"/>
  <c r="AN10" i="4"/>
  <c r="AR10" i="4" s="1"/>
  <c r="AH10" i="4"/>
  <c r="AO38" i="4"/>
  <c r="AS38" i="4" s="1"/>
  <c r="AI38" i="4"/>
  <c r="AP39" i="4"/>
  <c r="AT39" i="4" s="1"/>
  <c r="AJ39" i="4"/>
  <c r="AN9" i="4"/>
  <c r="AR9" i="4" s="1"/>
  <c r="AH9" i="4"/>
  <c r="AO28" i="4"/>
  <c r="AS28" i="4" s="1"/>
  <c r="AI28" i="4"/>
  <c r="AO8" i="4"/>
  <c r="AS8" i="4" s="1"/>
  <c r="AI8" i="4"/>
  <c r="AH40" i="4"/>
  <c r="AN40" i="4"/>
  <c r="AR40" i="4" s="1"/>
  <c r="AP8" i="4"/>
  <c r="AT8" i="4" s="1"/>
  <c r="AJ8" i="4"/>
  <c r="AP24" i="4"/>
  <c r="AT24" i="4" s="1"/>
  <c r="AJ24" i="4"/>
  <c r="AH30" i="4"/>
  <c r="AN30" i="4"/>
  <c r="AR30" i="4" s="1"/>
  <c r="AH21" i="4"/>
  <c r="AN21" i="4"/>
  <c r="AR21" i="4" s="1"/>
  <c r="AH11" i="4"/>
  <c r="AN11" i="4"/>
  <c r="AR11" i="4" s="1"/>
  <c r="AH17" i="4"/>
  <c r="AN17" i="4"/>
  <c r="AR17" i="4" s="1"/>
  <c r="AO6" i="4"/>
  <c r="AS6" i="4" s="1"/>
  <c r="AI6" i="4"/>
  <c r="AJ33" i="4"/>
  <c r="AP33" i="4"/>
  <c r="AT33" i="4" s="1"/>
  <c r="AI39" i="4"/>
  <c r="AO39" i="4"/>
  <c r="AS39" i="4" s="1"/>
  <c r="AJ21" i="4"/>
  <c r="AP21" i="4"/>
  <c r="AT21" i="4" s="1"/>
  <c r="AH16" i="4"/>
  <c r="AN16" i="4"/>
  <c r="AR16" i="4" s="1"/>
  <c r="AP20" i="4"/>
  <c r="AT20" i="4" s="1"/>
  <c r="AJ20" i="4"/>
  <c r="AN13" i="4"/>
  <c r="AR13" i="4" s="1"/>
  <c r="AH13" i="4"/>
  <c r="AO23" i="4"/>
  <c r="AS23" i="4" s="1"/>
  <c r="AI23" i="4"/>
  <c r="AO21" i="4"/>
  <c r="AS21" i="4" s="1"/>
  <c r="AI21" i="4"/>
  <c r="AI17" i="4"/>
  <c r="AO17" i="4"/>
  <c r="AS17" i="4" s="1"/>
  <c r="AP5" i="4"/>
  <c r="AT5" i="4" s="1"/>
  <c r="AJ5" i="4"/>
  <c r="AO7" i="4"/>
  <c r="AS7" i="4" s="1"/>
  <c r="AI7" i="4"/>
  <c r="AH6" i="4"/>
  <c r="AN6" i="4"/>
  <c r="AR6" i="4" s="1"/>
  <c r="AJ18" i="4"/>
  <c r="AP18" i="4"/>
  <c r="AT18" i="4" s="1"/>
  <c r="AK21" i="4" l="1"/>
  <c r="AL21" i="4"/>
  <c r="AK38" i="4"/>
  <c r="AL38" i="4"/>
  <c r="AK14" i="4"/>
  <c r="AL14" i="4"/>
  <c r="AK11" i="4"/>
  <c r="AL11" i="4"/>
  <c r="AV17" i="4"/>
  <c r="AU17" i="4"/>
  <c r="AL28" i="4"/>
  <c r="AK28" i="4"/>
  <c r="AU18" i="4"/>
  <c r="AV18" i="4"/>
  <c r="AK30" i="4"/>
  <c r="AL30" i="4"/>
  <c r="AV5" i="4"/>
  <c r="AU5" i="4"/>
  <c r="AK25" i="4"/>
  <c r="AL25" i="4"/>
  <c r="AU29" i="4"/>
  <c r="AV29" i="4"/>
  <c r="AL26" i="4"/>
  <c r="AK26" i="4"/>
  <c r="AV37" i="4"/>
  <c r="AU37" i="4"/>
  <c r="AK34" i="4"/>
  <c r="AL34" i="4"/>
  <c r="AL36" i="4"/>
  <c r="AK36" i="4"/>
  <c r="AL40" i="4"/>
  <c r="AK40" i="4"/>
  <c r="AU12" i="4"/>
  <c r="AV12" i="4"/>
  <c r="AL32" i="4"/>
  <c r="AK32" i="4"/>
  <c r="AK6" i="4"/>
  <c r="AL6" i="4"/>
  <c r="AK35" i="4"/>
  <c r="AL35" i="4"/>
  <c r="AU24" i="4"/>
  <c r="AV24" i="4"/>
  <c r="AL7" i="4"/>
  <c r="AK7" i="4"/>
  <c r="AL23" i="4"/>
  <c r="AK23" i="4"/>
  <c r="AU7" i="4"/>
  <c r="AV7" i="4"/>
  <c r="AL17" i="4"/>
  <c r="AK17" i="4"/>
  <c r="AU23" i="4"/>
  <c r="AV23" i="4"/>
  <c r="AU28" i="4"/>
  <c r="AV28" i="4"/>
  <c r="AK18" i="4"/>
  <c r="AL18" i="4"/>
  <c r="AU30" i="4"/>
  <c r="AV30" i="4"/>
  <c r="AL5" i="4"/>
  <c r="AK5" i="4"/>
  <c r="AU25" i="4"/>
  <c r="AV25" i="4"/>
  <c r="AL29" i="4"/>
  <c r="AK29" i="4"/>
  <c r="AU26" i="4"/>
  <c r="AV26" i="4"/>
  <c r="AL37" i="4"/>
  <c r="AK37" i="4"/>
  <c r="AV34" i="4"/>
  <c r="AU34" i="4"/>
  <c r="AU36" i="4"/>
  <c r="AV36" i="4"/>
  <c r="AV40" i="4"/>
  <c r="AU40" i="4"/>
  <c r="AK12" i="4"/>
  <c r="AL12" i="4"/>
  <c r="AV32" i="4"/>
  <c r="AU32" i="4"/>
  <c r="AU39" i="4"/>
  <c r="AV39" i="4"/>
  <c r="AK8" i="4"/>
  <c r="AL8" i="4"/>
  <c r="AK33" i="4"/>
  <c r="AL33" i="4"/>
  <c r="AV20" i="4"/>
  <c r="AU20" i="4"/>
  <c r="AV9" i="4"/>
  <c r="AU9" i="4"/>
  <c r="AV27" i="4"/>
  <c r="AU27" i="4"/>
  <c r="AL10" i="4"/>
  <c r="AK10" i="4"/>
  <c r="AK13" i="4"/>
  <c r="AL13" i="4"/>
  <c r="AL16" i="4"/>
  <c r="AK16" i="4"/>
  <c r="AL19" i="4"/>
  <c r="AK19" i="4"/>
  <c r="AK31" i="4"/>
  <c r="AL31" i="4"/>
  <c r="AK15" i="4"/>
  <c r="AL15" i="4"/>
  <c r="AL22" i="4"/>
  <c r="AK22" i="4"/>
  <c r="AV21" i="4"/>
  <c r="AU21" i="4"/>
  <c r="AL39" i="4"/>
  <c r="AK39" i="4"/>
  <c r="AV6" i="4"/>
  <c r="AU6" i="4"/>
  <c r="AU8" i="4"/>
  <c r="AV8" i="4"/>
  <c r="AU38" i="4"/>
  <c r="AV38" i="4"/>
  <c r="AU35" i="4"/>
  <c r="AV35" i="4"/>
  <c r="AU14" i="4"/>
  <c r="AV14" i="4"/>
  <c r="AV33" i="4"/>
  <c r="AU33" i="4"/>
  <c r="AV11" i="4"/>
  <c r="AU11" i="4"/>
  <c r="AK24" i="4"/>
  <c r="AL24" i="4"/>
  <c r="AL20" i="4"/>
  <c r="AK20" i="4"/>
  <c r="AL9" i="4"/>
  <c r="AK9" i="4"/>
  <c r="AK27" i="4"/>
  <c r="AL27" i="4"/>
  <c r="AV10" i="4"/>
  <c r="AU10" i="4"/>
  <c r="AV13" i="4"/>
  <c r="AU13" i="4"/>
  <c r="AU16" i="4"/>
  <c r="AV16" i="4"/>
  <c r="AU19" i="4"/>
  <c r="AV19" i="4"/>
  <c r="AV31" i="4"/>
  <c r="AU31" i="4"/>
  <c r="AU15" i="4"/>
  <c r="AV15" i="4"/>
  <c r="AV22" i="4"/>
  <c r="AU22" i="4"/>
</calcChain>
</file>

<file path=xl/comments1.xml><?xml version="1.0" encoding="utf-8"?>
<comments xmlns="http://schemas.openxmlformats.org/spreadsheetml/2006/main">
  <authors>
    <author>Garry R. Elder</author>
  </authors>
  <commentList>
    <comment ref="K2" authorId="0">
      <text>
        <r>
          <rPr>
            <b/>
            <sz val="12"/>
            <color indexed="81"/>
            <rFont val="Tahoma"/>
            <family val="2"/>
          </rPr>
          <t>Garry R. Elder:</t>
        </r>
        <r>
          <rPr>
            <sz val="12"/>
            <color indexed="81"/>
            <rFont val="Tahoma"/>
            <family val="2"/>
          </rPr>
          <t xml:space="preserve">
Even though bqMAXIMO is 14 bit, this value needs to be 15 to calculate the polynomial coeefs correctly.</t>
        </r>
      </text>
    </comment>
  </commentList>
</comments>
</file>

<file path=xl/comments2.xml><?xml version="1.0" encoding="utf-8"?>
<comments xmlns="http://schemas.openxmlformats.org/spreadsheetml/2006/main">
  <authors>
    <author>Garry R. Elder</author>
  </authors>
  <commentList>
    <comment ref="G5" authorId="0">
      <text>
        <r>
          <rPr>
            <b/>
            <sz val="14"/>
            <color indexed="81"/>
            <rFont val="Tahoma"/>
            <family val="2"/>
          </rPr>
          <t>Garry R. Elder:</t>
        </r>
        <r>
          <rPr>
            <sz val="14"/>
            <color indexed="81"/>
            <rFont val="Tahoma"/>
            <family val="2"/>
          </rPr>
          <t xml:space="preserve">
18000 is used even though 10k is in bqMaximo. Its effect is scaled by the bq78350 FW before being utilized by the temperature measurement algorithm.</t>
        </r>
      </text>
    </comment>
  </commentList>
</comments>
</file>

<file path=xl/sharedStrings.xml><?xml version="1.0" encoding="utf-8"?>
<sst xmlns="http://schemas.openxmlformats.org/spreadsheetml/2006/main" count="228" uniqueCount="159">
  <si>
    <t>Resistor Tolerance</t>
  </si>
  <si>
    <t>BETA Tolerance</t>
  </si>
  <si>
    <t>Resistor Network</t>
  </si>
  <si>
    <t>Temperature Drift</t>
  </si>
  <si>
    <t>Temperature</t>
  </si>
  <si>
    <t>min</t>
  </si>
  <si>
    <t>nom</t>
  </si>
  <si>
    <t>max</t>
  </si>
  <si>
    <t>Temp</t>
  </si>
  <si>
    <t>Res</t>
  </si>
  <si>
    <t>C</t>
  </si>
  <si>
    <t>B</t>
  </si>
  <si>
    <t>A</t>
  </si>
  <si>
    <t>Steinberg Stein</t>
  </si>
  <si>
    <t>1/Temp</t>
  </si>
  <si>
    <t>3rd Order</t>
  </si>
  <si>
    <t>D</t>
  </si>
  <si>
    <t>mid1</t>
  </si>
  <si>
    <t>mid2</t>
  </si>
  <si>
    <t>ln(Res)</t>
  </si>
  <si>
    <t>x</t>
  </si>
  <si>
    <t>y</t>
  </si>
  <si>
    <t>BETA</t>
  </si>
  <si>
    <t>Beta-</t>
  </si>
  <si>
    <t>Beta+</t>
  </si>
  <si>
    <t>Min Err</t>
  </si>
  <si>
    <t>Max Err</t>
  </si>
  <si>
    <t>Tol min</t>
  </si>
  <si>
    <t>Tol max</t>
  </si>
  <si>
    <t xml:space="preserve"> </t>
  </si>
  <si>
    <t>Value (Ω)</t>
  </si>
  <si>
    <t>R-</t>
  </si>
  <si>
    <t>TC-</t>
  </si>
  <si>
    <t>TC+</t>
  </si>
  <si>
    <t>R+</t>
  </si>
  <si>
    <t>Therm Min</t>
  </si>
  <si>
    <t>Therm Max</t>
  </si>
  <si>
    <t>Therm</t>
  </si>
  <si>
    <t>Vout/Vin</t>
  </si>
  <si>
    <t>Vout/Vin min</t>
  </si>
  <si>
    <t>Vout/Vin max</t>
  </si>
  <si>
    <t>y=ax+b</t>
  </si>
  <si>
    <t>a=</t>
  </si>
  <si>
    <t>b=</t>
  </si>
  <si>
    <t>AD Count Nom</t>
  </si>
  <si>
    <t>AD Count Min</t>
  </si>
  <si>
    <t>AD Count Max</t>
  </si>
  <si>
    <t>Quantization Error</t>
  </si>
  <si>
    <t>Eff Res</t>
  </si>
  <si>
    <t>Vref (V)</t>
  </si>
  <si>
    <t>Eff Res V</t>
  </si>
  <si>
    <t>A1</t>
  </si>
  <si>
    <t>A2</t>
  </si>
  <si>
    <t>A3</t>
  </si>
  <si>
    <t>Calibration Temperature</t>
  </si>
  <si>
    <t>Cal Temp</t>
  </si>
  <si>
    <t>Temp (°C)</t>
  </si>
  <si>
    <t>Res (Ω)</t>
  </si>
  <si>
    <t>1K</t>
  </si>
  <si>
    <t>10K</t>
  </si>
  <si>
    <t>100k</t>
  </si>
  <si>
    <t>1M</t>
  </si>
  <si>
    <t>Tolerance</t>
  </si>
  <si>
    <t>10M</t>
  </si>
  <si>
    <t>Therm-</t>
  </si>
  <si>
    <t>Therm+</t>
  </si>
  <si>
    <t>Max Network Temp</t>
  </si>
  <si>
    <t>ResNetTemp</t>
  </si>
  <si>
    <t>Min Network Temp</t>
  </si>
  <si>
    <t>Temp step</t>
  </si>
  <si>
    <t>Semitec AT103-2</t>
  </si>
  <si>
    <t>R_TH</t>
  </si>
  <si>
    <t>Thermistor R_THERM</t>
  </si>
  <si>
    <t>R_PAD</t>
  </si>
  <si>
    <t>Min Temp</t>
  </si>
  <si>
    <t>Max Temp</t>
  </si>
  <si>
    <t>E96 Resistor Values</t>
  </si>
  <si>
    <t>E96 log Row</t>
  </si>
  <si>
    <t>Temp Measurement Range</t>
  </si>
  <si>
    <t>Norm R/T Table</t>
  </si>
  <si>
    <t>R_TH nom</t>
  </si>
  <si>
    <t>R_TH min</t>
  </si>
  <si>
    <t>R_TH max</t>
  </si>
  <si>
    <t>R_PAD nom</t>
  </si>
  <si>
    <t>R_PAD min</t>
  </si>
  <si>
    <t>R_PAD max</t>
  </si>
  <si>
    <t>A4</t>
  </si>
  <si>
    <t>RTH(Temp-0.1)</t>
  </si>
  <si>
    <t>Error%</t>
  </si>
  <si>
    <t>Error C</t>
  </si>
  <si>
    <t>Temp-0.1</t>
  </si>
  <si>
    <t>min bit resolution</t>
  </si>
  <si>
    <t>B3</t>
  </si>
  <si>
    <t>B2</t>
  </si>
  <si>
    <t>B1</t>
  </si>
  <si>
    <t>m</t>
  </si>
  <si>
    <t>desired response</t>
  </si>
  <si>
    <t>DR in ADC</t>
  </si>
  <si>
    <t>A0</t>
  </si>
  <si>
    <t>Vo/Vin in AD</t>
  </si>
  <si>
    <t>V/DR</t>
  </si>
  <si>
    <t>V/DR*2^14</t>
  </si>
  <si>
    <t>AA</t>
  </si>
  <si>
    <t>Error degC</t>
  </si>
  <si>
    <t>calculated value</t>
  </si>
  <si>
    <t>Error nom</t>
  </si>
  <si>
    <t>Error min</t>
  </si>
  <si>
    <t>Error max</t>
  </si>
  <si>
    <t>Cal value</t>
  </si>
  <si>
    <t>B's</t>
  </si>
  <si>
    <t>A's</t>
  </si>
  <si>
    <t>B0</t>
  </si>
  <si>
    <t>Range</t>
  </si>
  <si>
    <t>A x</t>
  </si>
  <si>
    <t xml:space="preserve"> A y</t>
  </si>
  <si>
    <t>B y</t>
  </si>
  <si>
    <t>B x</t>
  </si>
  <si>
    <t>Range for A x</t>
  </si>
  <si>
    <t>Range for A y</t>
  </si>
  <si>
    <t>Range for B y</t>
  </si>
  <si>
    <t>Range for B x</t>
  </si>
  <si>
    <t>Range Temp</t>
  </si>
  <si>
    <t>Cal temp</t>
  </si>
  <si>
    <t>Instructions</t>
  </si>
  <si>
    <t>2. Enter the thermistor tolerance in cell D7 and cell D9. Information can be found in the thermistor datasheet</t>
  </si>
  <si>
    <t>3. Select the desire temperature operation rage in cell D3 and cell D4</t>
  </si>
  <si>
    <t>4. Optional: Select the calibration temperature in cell D26. This will not affect the calculated thermistor coef result.</t>
  </si>
  <si>
    <t>Calibration temperature will change how the temperature error is distributed and the result is reflected on the graph above</t>
  </si>
  <si>
    <t>5. Copy the A (cell C30 to C34) and B (cell E30 to E33) coef to the device dataflash</t>
  </si>
  <si>
    <t>Ext Coef a1</t>
  </si>
  <si>
    <t>Ext Coef a2</t>
  </si>
  <si>
    <t>Ext Coef a3</t>
  </si>
  <si>
    <t>Ext Coef a4</t>
  </si>
  <si>
    <t>Ext Coef a5</t>
  </si>
  <si>
    <t>Ext Coef b1</t>
  </si>
  <si>
    <t>Ext Coef b2</t>
  </si>
  <si>
    <t>Ext Coef b3</t>
  </si>
  <si>
    <t>Ext Coef b4</t>
  </si>
  <si>
    <t>Mitsubishi BN35-3H103F</t>
  </si>
  <si>
    <t>Vishay NTCS0805E3153FMT</t>
  </si>
  <si>
    <t>Epcos B57869S0103</t>
  </si>
  <si>
    <t>rc0</t>
  </si>
  <si>
    <t>adc0</t>
  </si>
  <si>
    <t>Rpad</t>
  </si>
  <si>
    <t>Rint</t>
  </si>
  <si>
    <t>Therm Res</t>
  </si>
  <si>
    <t>F/W step 1</t>
  </si>
  <si>
    <t>F/W step 2</t>
  </si>
  <si>
    <t>F/W step 3</t>
  </si>
  <si>
    <t>F/W step 4</t>
  </si>
  <si>
    <t>Calculate Kelvin</t>
  </si>
  <si>
    <t>Calculate degC</t>
  </si>
  <si>
    <t>Theoretical Calculation of A/D Count</t>
  </si>
  <si>
    <t>Note: Above numbers can be copied from Accuracy Tab using Paste Special with values only</t>
  </si>
  <si>
    <t>Nominal Uncalibrated Error in degrees C</t>
  </si>
  <si>
    <t>1. Insert Restance values in colum G from thermistor data sheet</t>
  </si>
  <si>
    <t>V 0.07</t>
  </si>
  <si>
    <t>BMS-GMAP Thermistor Temperature Optimizer</t>
  </si>
  <si>
    <t>NOTE: Accuracy Charts DO NOT account for ADC error, just tolernaces entered in left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</si>
</sst>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E+00"/>
    <numFmt numFmtId="165" formatCode="0.000"/>
    <numFmt numFmtId="166" formatCode="0.0"/>
    <numFmt numFmtId="167" formatCode="0.0%"/>
  </numFmts>
  <fonts count="13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00B0F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3">
    <xf numFmtId="0" fontId="0" fillId="0" borderId="0" xfId="0"/>
    <xf numFmtId="10" fontId="0" fillId="0" borderId="0" xfId="0" applyNumberFormat="1"/>
    <xf numFmtId="165" fontId="0" fillId="0" borderId="0" xfId="0" applyNumberFormat="1"/>
    <xf numFmtId="166" fontId="0" fillId="0" borderId="0" xfId="0" applyNumberFormat="1"/>
    <xf numFmtId="2" fontId="0" fillId="0" borderId="0" xfId="0" applyNumberFormat="1"/>
    <xf numFmtId="0" fontId="0" fillId="2" borderId="1" xfId="0" applyFill="1" applyBorder="1"/>
    <xf numFmtId="166" fontId="0" fillId="2" borderId="1" xfId="0" applyNumberFormat="1" applyFill="1" applyBorder="1"/>
    <xf numFmtId="10" fontId="0" fillId="0" borderId="0" xfId="0" applyNumberFormat="1" applyAlignment="1">
      <alignment horizontal="right"/>
    </xf>
    <xf numFmtId="0" fontId="0" fillId="0" borderId="0" xfId="0" applyFill="1" applyBorder="1"/>
    <xf numFmtId="0" fontId="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3" xfId="0" applyFont="1" applyBorder="1"/>
    <xf numFmtId="0" fontId="2" fillId="0" borderId="5" xfId="0" applyFont="1" applyBorder="1"/>
    <xf numFmtId="10" fontId="0" fillId="0" borderId="0" xfId="0" applyNumberFormat="1" applyBorder="1"/>
    <xf numFmtId="0" fontId="0" fillId="0" borderId="9" xfId="0" applyBorder="1"/>
    <xf numFmtId="0" fontId="0" fillId="3" borderId="1" xfId="0" applyFill="1" applyBorder="1" applyProtection="1">
      <protection locked="0"/>
    </xf>
    <xf numFmtId="0" fontId="0" fillId="0" borderId="0" xfId="0" applyBorder="1" applyProtection="1">
      <protection locked="0"/>
    </xf>
    <xf numFmtId="164" fontId="0" fillId="0" borderId="0" xfId="0" applyNumberFormat="1" applyBorder="1"/>
    <xf numFmtId="0" fontId="0" fillId="0" borderId="2" xfId="0" applyBorder="1"/>
    <xf numFmtId="164" fontId="0" fillId="0" borderId="8" xfId="0" applyNumberFormat="1" applyBorder="1"/>
    <xf numFmtId="0" fontId="2" fillId="0" borderId="0" xfId="0" applyFont="1"/>
    <xf numFmtId="166" fontId="0" fillId="0" borderId="0" xfId="0" applyNumberFormat="1" applyFill="1" applyBorder="1"/>
    <xf numFmtId="10" fontId="0" fillId="0" borderId="1" xfId="0" applyNumberFormat="1" applyBorder="1"/>
    <xf numFmtId="0" fontId="2" fillId="2" borderId="1" xfId="0" applyFont="1" applyFill="1" applyBorder="1"/>
    <xf numFmtId="1" fontId="0" fillId="0" borderId="0" xfId="0" applyNumberFormat="1"/>
    <xf numFmtId="2" fontId="0" fillId="0" borderId="0" xfId="0" applyNumberFormat="1" applyBorder="1"/>
    <xf numFmtId="2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167" fontId="0" fillId="0" borderId="0" xfId="0" applyNumberFormat="1"/>
    <xf numFmtId="165" fontId="0" fillId="2" borderId="1" xfId="0" applyNumberFormat="1" applyFill="1" applyBorder="1"/>
    <xf numFmtId="0" fontId="2" fillId="0" borderId="0" xfId="0" applyFont="1" applyBorder="1"/>
    <xf numFmtId="0" fontId="0" fillId="0" borderId="0" xfId="0" applyBorder="1" applyAlignment="1"/>
    <xf numFmtId="0" fontId="0" fillId="0" borderId="1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13" xfId="0" applyFill="1" applyBorder="1"/>
    <xf numFmtId="0" fontId="0" fillId="0" borderId="13" xfId="0" applyBorder="1"/>
    <xf numFmtId="0" fontId="0" fillId="2" borderId="14" xfId="0" applyFill="1" applyBorder="1"/>
    <xf numFmtId="0" fontId="0" fillId="2" borderId="15" xfId="0" applyFill="1" applyBorder="1"/>
    <xf numFmtId="0" fontId="0" fillId="0" borderId="16" xfId="0" applyBorder="1"/>
    <xf numFmtId="0" fontId="0" fillId="2" borderId="17" xfId="0" applyFill="1" applyBorder="1"/>
    <xf numFmtId="0" fontId="0" fillId="0" borderId="17" xfId="0" applyBorder="1"/>
    <xf numFmtId="0" fontId="0" fillId="0" borderId="18" xfId="0" applyBorder="1"/>
    <xf numFmtId="0" fontId="7" fillId="0" borderId="0" xfId="0" applyFont="1"/>
    <xf numFmtId="0" fontId="8" fillId="0" borderId="0" xfId="0" applyFont="1"/>
    <xf numFmtId="0" fontId="6" fillId="0" borderId="0" xfId="0" applyFont="1"/>
    <xf numFmtId="0" fontId="0" fillId="5" borderId="1" xfId="0" applyFill="1" applyBorder="1" applyAlignment="1">
      <alignment horizontal="right"/>
    </xf>
    <xf numFmtId="0" fontId="0" fillId="0" borderId="19" xfId="0" applyBorder="1"/>
    <xf numFmtId="0" fontId="0" fillId="2" borderId="19" xfId="0" applyFill="1" applyBorder="1"/>
    <xf numFmtId="10" fontId="0" fillId="0" borderId="19" xfId="0" applyNumberFormat="1" applyBorder="1"/>
    <xf numFmtId="0" fontId="0" fillId="0" borderId="19" xfId="0" applyFill="1" applyBorder="1"/>
    <xf numFmtId="0" fontId="0" fillId="0" borderId="19" xfId="0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ill="1"/>
    <xf numFmtId="0" fontId="2" fillId="6" borderId="1" xfId="0" applyFont="1" applyFill="1" applyBorder="1" applyAlignment="1">
      <alignment wrapText="1"/>
    </xf>
    <xf numFmtId="0" fontId="0" fillId="6" borderId="1" xfId="0" applyFill="1" applyBorder="1"/>
    <xf numFmtId="0" fontId="2" fillId="7" borderId="20" xfId="0" applyFont="1" applyFill="1" applyBorder="1" applyAlignment="1">
      <alignment wrapText="1"/>
    </xf>
    <xf numFmtId="0" fontId="6" fillId="7" borderId="20" xfId="0" applyFont="1" applyFill="1" applyBorder="1" applyAlignment="1">
      <alignment wrapText="1"/>
    </xf>
    <xf numFmtId="0" fontId="0" fillId="7" borderId="20" xfId="0" applyFill="1" applyBorder="1"/>
    <xf numFmtId="0" fontId="2" fillId="6" borderId="20" xfId="0" applyFont="1" applyFill="1" applyBorder="1" applyAlignment="1">
      <alignment wrapText="1"/>
    </xf>
    <xf numFmtId="0" fontId="0" fillId="6" borderId="20" xfId="0" applyFill="1" applyBorder="1"/>
    <xf numFmtId="165" fontId="0" fillId="7" borderId="20" xfId="0" applyNumberFormat="1" applyFill="1" applyBorder="1"/>
    <xf numFmtId="0" fontId="0" fillId="8" borderId="0" xfId="0" applyFill="1"/>
    <xf numFmtId="0" fontId="0" fillId="0" borderId="20" xfId="0" applyFill="1" applyBorder="1"/>
    <xf numFmtId="0" fontId="0" fillId="3" borderId="20" xfId="0" applyFill="1" applyBorder="1" applyProtection="1">
      <protection locked="0"/>
    </xf>
    <xf numFmtId="0" fontId="0" fillId="5" borderId="20" xfId="0" applyFill="1" applyBorder="1" applyProtection="1">
      <protection locked="0"/>
    </xf>
    <xf numFmtId="0" fontId="0" fillId="0" borderId="20" xfId="0" applyBorder="1"/>
    <xf numFmtId="10" fontId="0" fillId="3" borderId="20" xfId="0" applyNumberFormat="1" applyFill="1" applyBorder="1" applyProtection="1">
      <protection locked="0"/>
    </xf>
    <xf numFmtId="0" fontId="0" fillId="4" borderId="20" xfId="0" applyNumberFormat="1" applyFill="1" applyBorder="1" applyProtection="1"/>
    <xf numFmtId="10" fontId="0" fillId="4" borderId="20" xfId="0" applyNumberFormat="1" applyFill="1" applyBorder="1" applyProtection="1"/>
    <xf numFmtId="1" fontId="0" fillId="4" borderId="20" xfId="0" applyNumberFormat="1" applyFill="1" applyBorder="1" applyProtection="1"/>
    <xf numFmtId="0" fontId="0" fillId="2" borderId="20" xfId="0" applyFill="1" applyBorder="1"/>
    <xf numFmtId="10" fontId="0" fillId="0" borderId="20" xfId="0" applyNumberFormat="1" applyBorder="1"/>
    <xf numFmtId="0" fontId="0" fillId="5" borderId="15" xfId="0" applyFill="1" applyBorder="1" applyAlignment="1">
      <alignment horizontal="right"/>
    </xf>
    <xf numFmtId="0" fontId="0" fillId="0" borderId="6" xfId="0" applyFill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17">
    <dxf>
      <font>
        <b/>
        <i val="0"/>
        <strike/>
        <condense val="0"/>
        <extend val="0"/>
        <color indexed="53"/>
      </font>
    </dxf>
    <dxf>
      <font>
        <condense val="0"/>
        <extend val="0"/>
        <color indexed="53"/>
      </font>
      <fill>
        <patternFill patternType="solid">
          <bgColor indexed="53"/>
        </patternFill>
      </fill>
    </dxf>
    <dxf>
      <font>
        <condense val="0"/>
        <extend val="0"/>
        <color indexed="10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  <dxf>
      <font>
        <b/>
        <i val="0"/>
        <strike/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Thermistor Resistor Change vs. Temp</a:t>
            </a:r>
          </a:p>
        </c:rich>
      </c:tx>
      <c:layout>
        <c:manualLayout>
          <c:xMode val="edge"/>
          <c:yMode val="edge"/>
          <c:x val="0.18750054680664921"/>
          <c:y val="3.67647058823529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781315565275992"/>
          <c:y val="0.20955882352941191"/>
          <c:w val="0.66927253538140763"/>
          <c:h val="0.53676470588235214"/>
        </c:manualLayout>
      </c:layout>
      <c:scatterChart>
        <c:scatterStyle val="lineMarker"/>
        <c:varyColors val="0"/>
        <c:ser>
          <c:idx val="1"/>
          <c:order val="0"/>
          <c:tx>
            <c:strRef>
              <c:f>Thermistor!$D$4</c:f>
              <c:strCache>
                <c:ptCount val="1"/>
                <c:pt idx="0">
                  <c:v>Therm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Thermistor!$C$5:$C$40</c:f>
              <c:numCache>
                <c:formatCode>General</c:formatCode>
                <c:ptCount val="36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  <c:pt idx="31">
                  <c:v>115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xVal>
          <c:yVal>
            <c:numRef>
              <c:f>Thermistor!$D$5:$D$40</c:f>
              <c:numCache>
                <c:formatCode>General</c:formatCode>
                <c:ptCount val="36"/>
                <c:pt idx="0">
                  <c:v>188500</c:v>
                </c:pt>
                <c:pt idx="1">
                  <c:v>144100</c:v>
                </c:pt>
                <c:pt idx="2">
                  <c:v>111300</c:v>
                </c:pt>
                <c:pt idx="3">
                  <c:v>86430</c:v>
                </c:pt>
                <c:pt idx="4">
                  <c:v>67770</c:v>
                </c:pt>
                <c:pt idx="5">
                  <c:v>53410</c:v>
                </c:pt>
                <c:pt idx="6">
                  <c:v>42470</c:v>
                </c:pt>
                <c:pt idx="7">
                  <c:v>33900</c:v>
                </c:pt>
                <c:pt idx="8">
                  <c:v>27280</c:v>
                </c:pt>
                <c:pt idx="9">
                  <c:v>22050</c:v>
                </c:pt>
                <c:pt idx="10">
                  <c:v>17960</c:v>
                </c:pt>
                <c:pt idx="11">
                  <c:v>14690</c:v>
                </c:pt>
                <c:pt idx="12">
                  <c:v>12090</c:v>
                </c:pt>
                <c:pt idx="13">
                  <c:v>10000</c:v>
                </c:pt>
                <c:pt idx="14">
                  <c:v>8313</c:v>
                </c:pt>
                <c:pt idx="15">
                  <c:v>6940</c:v>
                </c:pt>
                <c:pt idx="16">
                  <c:v>5827</c:v>
                </c:pt>
                <c:pt idx="17">
                  <c:v>4911</c:v>
                </c:pt>
                <c:pt idx="18">
                  <c:v>4160</c:v>
                </c:pt>
                <c:pt idx="19">
                  <c:v>3536</c:v>
                </c:pt>
                <c:pt idx="20">
                  <c:v>3020</c:v>
                </c:pt>
                <c:pt idx="21">
                  <c:v>2588</c:v>
                </c:pt>
                <c:pt idx="22">
                  <c:v>2228</c:v>
                </c:pt>
                <c:pt idx="23">
                  <c:v>1924</c:v>
                </c:pt>
                <c:pt idx="24">
                  <c:v>1668</c:v>
                </c:pt>
                <c:pt idx="25">
                  <c:v>1451</c:v>
                </c:pt>
                <c:pt idx="26">
                  <c:v>1266</c:v>
                </c:pt>
                <c:pt idx="27">
                  <c:v>1108</c:v>
                </c:pt>
                <c:pt idx="28">
                  <c:v>973.1</c:v>
                </c:pt>
                <c:pt idx="29">
                  <c:v>857.2</c:v>
                </c:pt>
                <c:pt idx="30">
                  <c:v>757.6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054400"/>
        <c:axId val="128056320"/>
      </c:scatterChart>
      <c:valAx>
        <c:axId val="128054400"/>
        <c:scaling>
          <c:orientation val="minMax"/>
          <c:max val="120"/>
          <c:min val="-4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4010526027996527"/>
              <c:y val="0.8602941176470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056320"/>
        <c:crosses val="autoZero"/>
        <c:crossBetween val="midCat"/>
        <c:majorUnit val="20"/>
      </c:valAx>
      <c:valAx>
        <c:axId val="128056320"/>
        <c:scaling>
          <c:orientation val="minMax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Resistance (</a:t>
                </a:r>
                <a:r>
                  <a:rPr lang="el-G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Ω)</a:t>
                </a:r>
              </a:p>
            </c:rich>
          </c:tx>
          <c:layout>
            <c:manualLayout>
              <c:xMode val="edge"/>
              <c:yMode val="edge"/>
              <c:x val="4.1666666666666664E-2"/>
              <c:y val="0.3088235294117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054400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Vout/Vin vs ideal</a:t>
            </a:r>
          </a:p>
        </c:rich>
      </c:tx>
      <c:layout>
        <c:manualLayout>
          <c:xMode val="edge"/>
          <c:yMode val="edge"/>
          <c:x val="0.35677165354330709"/>
          <c:y val="3.67646351898320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18779802398178"/>
          <c:y val="0.20879195567177383"/>
          <c:w val="0.81250206629960708"/>
          <c:h val="0.53846346462720507"/>
        </c:manualLayout>
      </c:layout>
      <c:lineChart>
        <c:grouping val="standard"/>
        <c:varyColors val="0"/>
        <c:ser>
          <c:idx val="0"/>
          <c:order val="0"/>
          <c:tx>
            <c:strRef>
              <c:f>'Resistor Network'!$AB$4</c:f>
              <c:strCache>
                <c:ptCount val="1"/>
                <c:pt idx="0">
                  <c:v>Vout/Vin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'Resistor Network'!$C$5:$C$35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cat>
          <c:val>
            <c:numRef>
              <c:f>'Resistor Network'!$AB$5:$AB$35</c:f>
              <c:numCache>
                <c:formatCode>0.000</c:formatCode>
                <c:ptCount val="31"/>
                <c:pt idx="0">
                  <c:v>0.9128329297820823</c:v>
                </c:pt>
                <c:pt idx="1">
                  <c:v>0.8889574336829118</c:v>
                </c:pt>
                <c:pt idx="2">
                  <c:v>0.86078886310904867</c:v>
                </c:pt>
                <c:pt idx="3">
                  <c:v>0.82763573685722491</c:v>
                </c:pt>
                <c:pt idx="4">
                  <c:v>0.79013641133263379</c:v>
                </c:pt>
                <c:pt idx="5">
                  <c:v>0.74793446296036969</c:v>
                </c:pt>
                <c:pt idx="6">
                  <c:v>0.70233173474450139</c:v>
                </c:pt>
                <c:pt idx="7">
                  <c:v>0.65317919075144504</c:v>
                </c:pt>
                <c:pt idx="8">
                  <c:v>0.6024734982332155</c:v>
                </c:pt>
                <c:pt idx="9">
                  <c:v>0.550561797752809</c:v>
                </c:pt>
                <c:pt idx="10">
                  <c:v>0.49944382647385982</c:v>
                </c:pt>
                <c:pt idx="11">
                  <c:v>0.44937289691037013</c:v>
                </c:pt>
                <c:pt idx="12">
                  <c:v>0.40179461615154538</c:v>
                </c:pt>
                <c:pt idx="13">
                  <c:v>0.35714285714285715</c:v>
                </c:pt>
                <c:pt idx="14">
                  <c:v>0.31592748831376127</c:v>
                </c:pt>
                <c:pt idx="15">
                  <c:v>0.27826784282277467</c:v>
                </c:pt>
                <c:pt idx="16">
                  <c:v>0.24455449699920259</c:v>
                </c:pt>
                <c:pt idx="17">
                  <c:v>0.21435118502029593</c:v>
                </c:pt>
                <c:pt idx="18">
                  <c:v>0.18772563176895307</c:v>
                </c:pt>
                <c:pt idx="19">
                  <c:v>0.16419019316493313</c:v>
                </c:pt>
                <c:pt idx="20">
                  <c:v>0.14367269267364416</c:v>
                </c:pt>
                <c:pt idx="21">
                  <c:v>0.12570429376335729</c:v>
                </c:pt>
                <c:pt idx="22">
                  <c:v>0.11014435436029267</c:v>
                </c:pt>
                <c:pt idx="23">
                  <c:v>9.6566954426821922E-2</c:v>
                </c:pt>
                <c:pt idx="24">
                  <c:v>8.4807809640024406E-2</c:v>
                </c:pt>
                <c:pt idx="25">
                  <c:v>7.4597707058763049E-2</c:v>
                </c:pt>
                <c:pt idx="26">
                  <c:v>6.5711616318903765E-2</c:v>
                </c:pt>
                <c:pt idx="27">
                  <c:v>5.798618379736236E-2</c:v>
                </c:pt>
                <c:pt idx="28">
                  <c:v>5.1288403054851349E-2</c:v>
                </c:pt>
                <c:pt idx="29">
                  <c:v>4.5457438007763612E-2</c:v>
                </c:pt>
                <c:pt idx="30">
                  <c:v>4.0388962340597946E-2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'best fit'!$T$4</c:f>
              <c:strCache>
                <c:ptCount val="1"/>
                <c:pt idx="0">
                  <c:v>desired response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'best fit'!$S$5:$S$35</c:f>
              <c:numCache>
                <c:formatCode>0.00</c:formatCode>
                <c:ptCount val="31"/>
                <c:pt idx="0">
                  <c:v>0.86</c:v>
                </c:pt>
                <c:pt idx="1">
                  <c:v>0.84366666666666668</c:v>
                </c:pt>
                <c:pt idx="2">
                  <c:v>0.82733333333333337</c:v>
                </c:pt>
                <c:pt idx="3">
                  <c:v>0.81099999999999994</c:v>
                </c:pt>
                <c:pt idx="4">
                  <c:v>0.79466666666666663</c:v>
                </c:pt>
                <c:pt idx="5">
                  <c:v>0.77833333333333332</c:v>
                </c:pt>
                <c:pt idx="6">
                  <c:v>0.76200000000000001</c:v>
                </c:pt>
                <c:pt idx="7">
                  <c:v>0.7456666666666667</c:v>
                </c:pt>
                <c:pt idx="8">
                  <c:v>0.72933333333333339</c:v>
                </c:pt>
                <c:pt idx="9">
                  <c:v>0.71299999999999997</c:v>
                </c:pt>
                <c:pt idx="10">
                  <c:v>0.69666666666666666</c:v>
                </c:pt>
                <c:pt idx="11">
                  <c:v>0.68033333333333335</c:v>
                </c:pt>
                <c:pt idx="12">
                  <c:v>0.66400000000000003</c:v>
                </c:pt>
                <c:pt idx="13">
                  <c:v>0.64766666666666661</c:v>
                </c:pt>
                <c:pt idx="14">
                  <c:v>0.6313333333333333</c:v>
                </c:pt>
                <c:pt idx="15">
                  <c:v>0.61499999999999999</c:v>
                </c:pt>
                <c:pt idx="16">
                  <c:v>0.59866666666666668</c:v>
                </c:pt>
                <c:pt idx="17">
                  <c:v>0.58233333333333337</c:v>
                </c:pt>
                <c:pt idx="18">
                  <c:v>0.56600000000000006</c:v>
                </c:pt>
                <c:pt idx="19">
                  <c:v>0.54966666666666675</c:v>
                </c:pt>
                <c:pt idx="20">
                  <c:v>0.53333333333333333</c:v>
                </c:pt>
                <c:pt idx="21">
                  <c:v>0.51700000000000002</c:v>
                </c:pt>
                <c:pt idx="22">
                  <c:v>0.5006666666666667</c:v>
                </c:pt>
                <c:pt idx="23">
                  <c:v>0.48433333333333334</c:v>
                </c:pt>
                <c:pt idx="24">
                  <c:v>0.46800000000000003</c:v>
                </c:pt>
                <c:pt idx="25">
                  <c:v>0.45166666666666672</c:v>
                </c:pt>
                <c:pt idx="26">
                  <c:v>0.43533333333333335</c:v>
                </c:pt>
                <c:pt idx="27">
                  <c:v>0.41900000000000004</c:v>
                </c:pt>
                <c:pt idx="28">
                  <c:v>0.40266666666666673</c:v>
                </c:pt>
                <c:pt idx="29">
                  <c:v>0.38633333333333336</c:v>
                </c:pt>
                <c:pt idx="30">
                  <c:v>0.37000000000000005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'best fit'!$Y$4</c:f>
              <c:strCache>
                <c:ptCount val="1"/>
                <c:pt idx="0">
                  <c:v>AA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'best fit'!$X$5:$X$35</c:f>
              <c:numCache>
                <c:formatCode>0.00</c:formatCode>
                <c:ptCount val="31"/>
                <c:pt idx="0">
                  <c:v>0.85853968069266406</c:v>
                </c:pt>
                <c:pt idx="1">
                  <c:v>0.84406933848553511</c:v>
                </c:pt>
                <c:pt idx="2">
                  <c:v>0.82847570606516541</c:v>
                </c:pt>
                <c:pt idx="3">
                  <c:v>0.81187878693730786</c:v>
                </c:pt>
                <c:pt idx="4">
                  <c:v>0.7950111864698246</c:v>
                </c:pt>
                <c:pt idx="5">
                  <c:v>0.77796840093931596</c:v>
                </c:pt>
                <c:pt idx="6">
                  <c:v>0.76132049924238365</c:v>
                </c:pt>
                <c:pt idx="7">
                  <c:v>0.74483698812913668</c:v>
                </c:pt>
                <c:pt idx="8">
                  <c:v>0.72881868490635249</c:v>
                </c:pt>
                <c:pt idx="9">
                  <c:v>0.71286505806012623</c:v>
                </c:pt>
                <c:pt idx="10">
                  <c:v>0.69705533830594768</c:v>
                </c:pt>
                <c:pt idx="11">
                  <c:v>0.68098129002701013</c:v>
                </c:pt>
                <c:pt idx="12">
                  <c:v>0.6647374566741262</c:v>
                </c:pt>
                <c:pt idx="13">
                  <c:v>0.64824684621222173</c:v>
                </c:pt>
                <c:pt idx="14">
                  <c:v>0.63159830199520228</c:v>
                </c:pt>
                <c:pt idx="15">
                  <c:v>0.6148377758555722</c:v>
                </c:pt>
                <c:pt idx="16">
                  <c:v>0.5982177145817541</c:v>
                </c:pt>
                <c:pt idx="17">
                  <c:v>0.58164459915933642</c:v>
                </c:pt>
                <c:pt idx="18">
                  <c:v>0.56529256434410324</c:v>
                </c:pt>
                <c:pt idx="19">
                  <c:v>0.54901554280902465</c:v>
                </c:pt>
                <c:pt idx="20">
                  <c:v>0.53292952558996398</c:v>
                </c:pt>
                <c:pt idx="21">
                  <c:v>0.51685490704820469</c:v>
                </c:pt>
                <c:pt idx="22">
                  <c:v>0.50087525971093183</c:v>
                </c:pt>
                <c:pt idx="23">
                  <c:v>0.48478832614627726</c:v>
                </c:pt>
                <c:pt idx="24">
                  <c:v>0.46865112327295289</c:v>
                </c:pt>
                <c:pt idx="25">
                  <c:v>0.45238926643963978</c:v>
                </c:pt>
                <c:pt idx="26">
                  <c:v>0.43594948119045179</c:v>
                </c:pt>
                <c:pt idx="27">
                  <c:v>0.41935838127692121</c:v>
                </c:pt>
                <c:pt idx="28">
                  <c:v>0.4027014718494879</c:v>
                </c:pt>
                <c:pt idx="29">
                  <c:v>0.38597155188337712</c:v>
                </c:pt>
                <c:pt idx="30">
                  <c:v>0.3692732086727869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63616"/>
        <c:axId val="128465536"/>
      </c:lineChart>
      <c:catAx>
        <c:axId val="1284636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7760526027996555"/>
              <c:y val="0.860294001711324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65536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28465536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636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Calculated vs Real Temp</a:t>
            </a:r>
          </a:p>
        </c:rich>
      </c:tx>
      <c:layout>
        <c:manualLayout>
          <c:xMode val="edge"/>
          <c:yMode val="edge"/>
          <c:x val="0.2890632307325221"/>
          <c:y val="3.67646351898320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285732403779941"/>
          <c:y val="0.20879195567177383"/>
          <c:w val="0.78961139104529099"/>
          <c:h val="0.53846346462720507"/>
        </c:manualLayout>
      </c:layout>
      <c:lineChart>
        <c:grouping val="standard"/>
        <c:varyColors val="0"/>
        <c:ser>
          <c:idx val="0"/>
          <c:order val="0"/>
          <c:tx>
            <c:strRef>
              <c:f>Digital!$C$4</c:f>
              <c:strCache>
                <c:ptCount val="1"/>
                <c:pt idx="0">
                  <c:v>Temperature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Digital!$C$5:$C$35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cat>
          <c:val>
            <c:numRef>
              <c:f>Digital!$C$5:$C$35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Digital!$AD$4</c:f>
              <c:strCache>
                <c:ptCount val="1"/>
                <c:pt idx="0">
                  <c:v>calculated value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val>
            <c:numRef>
              <c:f>Digital!$AD$5:$AD$35</c:f>
              <c:numCache>
                <c:formatCode>0.0</c:formatCode>
                <c:ptCount val="31"/>
                <c:pt idx="0">
                  <c:v>-39.4</c:v>
                </c:pt>
                <c:pt idx="1">
                  <c:v>-35</c:v>
                </c:pt>
                <c:pt idx="2">
                  <c:v>-30.2</c:v>
                </c:pt>
                <c:pt idx="3">
                  <c:v>-25.1</c:v>
                </c:pt>
                <c:pt idx="4">
                  <c:v>-20</c:v>
                </c:pt>
                <c:pt idx="5">
                  <c:v>-14.8</c:v>
                </c:pt>
                <c:pt idx="6">
                  <c:v>-9.6999999999999993</c:v>
                </c:pt>
                <c:pt idx="7">
                  <c:v>-4.5999999999999996</c:v>
                </c:pt>
                <c:pt idx="8">
                  <c:v>0.3</c:v>
                </c:pt>
                <c:pt idx="9">
                  <c:v>5.0999999999999996</c:v>
                </c:pt>
                <c:pt idx="10">
                  <c:v>10</c:v>
                </c:pt>
                <c:pt idx="11">
                  <c:v>14.9</c:v>
                </c:pt>
                <c:pt idx="12">
                  <c:v>19.899999999999999</c:v>
                </c:pt>
                <c:pt idx="13">
                  <c:v>24.9</c:v>
                </c:pt>
                <c:pt idx="14">
                  <c:v>30</c:v>
                </c:pt>
                <c:pt idx="15">
                  <c:v>35.200000000000003</c:v>
                </c:pt>
                <c:pt idx="16">
                  <c:v>40.299999999999997</c:v>
                </c:pt>
                <c:pt idx="17">
                  <c:v>45.3</c:v>
                </c:pt>
                <c:pt idx="18">
                  <c:v>50.3</c:v>
                </c:pt>
                <c:pt idx="19">
                  <c:v>55.3</c:v>
                </c:pt>
                <c:pt idx="20">
                  <c:v>60.2</c:v>
                </c:pt>
                <c:pt idx="21">
                  <c:v>65.2</c:v>
                </c:pt>
                <c:pt idx="22">
                  <c:v>70.099999999999994</c:v>
                </c:pt>
                <c:pt idx="23">
                  <c:v>75</c:v>
                </c:pt>
                <c:pt idx="24">
                  <c:v>79.900000000000006</c:v>
                </c:pt>
                <c:pt idx="25">
                  <c:v>84.9</c:v>
                </c:pt>
                <c:pt idx="26">
                  <c:v>89.9</c:v>
                </c:pt>
                <c:pt idx="27">
                  <c:v>95</c:v>
                </c:pt>
                <c:pt idx="28">
                  <c:v>100.1</c:v>
                </c:pt>
                <c:pt idx="29">
                  <c:v>105.2</c:v>
                </c:pt>
                <c:pt idx="30">
                  <c:v>110.3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474496"/>
        <c:axId val="128480768"/>
      </c:lineChart>
      <c:catAx>
        <c:axId val="1284744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9583433888945768"/>
              <c:y val="0.8602940017113245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8076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1284807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7449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Gas Gauge Temperature Tolerance
(uncalibrated)</a:t>
            </a:r>
          </a:p>
        </c:rich>
      </c:tx>
      <c:layout>
        <c:manualLayout>
          <c:xMode val="edge"/>
          <c:yMode val="edge"/>
          <c:x val="0.20312560929883752"/>
          <c:y val="3.66300745253559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7171846047897"/>
          <c:y val="0.25912454936371848"/>
          <c:w val="0.70389699662261163"/>
          <c:h val="0.48905196640476484"/>
        </c:manualLayout>
      </c:layout>
      <c:scatterChart>
        <c:scatterStyle val="lineMarker"/>
        <c:varyColors val="0"/>
        <c:ser>
          <c:idx val="1"/>
          <c:order val="0"/>
          <c:tx>
            <c:strRef>
              <c:f>Digital!$AH$4</c:f>
              <c:strCache>
                <c:ptCount val="1"/>
                <c:pt idx="0">
                  <c:v>Error nom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Digital!$AH$5:$AH$40</c:f>
              <c:numCache>
                <c:formatCode>0.0</c:formatCode>
                <c:ptCount val="36"/>
                <c:pt idx="0">
                  <c:v>0.60000000000000142</c:v>
                </c:pt>
                <c:pt idx="1">
                  <c:v>0</c:v>
                </c:pt>
                <c:pt idx="2">
                  <c:v>-0.19999999999999929</c:v>
                </c:pt>
                <c:pt idx="3">
                  <c:v>-0.10000000000000142</c:v>
                </c:pt>
                <c:pt idx="4">
                  <c:v>0</c:v>
                </c:pt>
                <c:pt idx="5">
                  <c:v>0.19999999999999929</c:v>
                </c:pt>
                <c:pt idx="6">
                  <c:v>0.30000000000000071</c:v>
                </c:pt>
                <c:pt idx="7">
                  <c:v>0.40000000000000036</c:v>
                </c:pt>
                <c:pt idx="8">
                  <c:v>0.3</c:v>
                </c:pt>
                <c:pt idx="9">
                  <c:v>9.9999999999999645E-2</c:v>
                </c:pt>
                <c:pt idx="10">
                  <c:v>0</c:v>
                </c:pt>
                <c:pt idx="11">
                  <c:v>-9.9999999999999645E-2</c:v>
                </c:pt>
                <c:pt idx="12">
                  <c:v>-0.10000000000000142</c:v>
                </c:pt>
                <c:pt idx="13">
                  <c:v>-0.10000000000000142</c:v>
                </c:pt>
                <c:pt idx="14">
                  <c:v>0</c:v>
                </c:pt>
                <c:pt idx="15">
                  <c:v>0.20000000000000284</c:v>
                </c:pt>
                <c:pt idx="16">
                  <c:v>0.29999999999999716</c:v>
                </c:pt>
                <c:pt idx="17">
                  <c:v>0.29999999999999716</c:v>
                </c:pt>
                <c:pt idx="18">
                  <c:v>0.29999999999999716</c:v>
                </c:pt>
                <c:pt idx="19">
                  <c:v>0.29999999999999716</c:v>
                </c:pt>
                <c:pt idx="20">
                  <c:v>0.20000000000000284</c:v>
                </c:pt>
                <c:pt idx="21">
                  <c:v>0.20000000000000284</c:v>
                </c:pt>
                <c:pt idx="22">
                  <c:v>9.9999999999994316E-2</c:v>
                </c:pt>
                <c:pt idx="23">
                  <c:v>0</c:v>
                </c:pt>
                <c:pt idx="24">
                  <c:v>-9.9999999999994316E-2</c:v>
                </c:pt>
                <c:pt idx="25">
                  <c:v>-9.9999999999994316E-2</c:v>
                </c:pt>
                <c:pt idx="26">
                  <c:v>-9.9999999999994316E-2</c:v>
                </c:pt>
                <c:pt idx="27">
                  <c:v>0</c:v>
                </c:pt>
                <c:pt idx="28">
                  <c:v>9.9999999999994316E-2</c:v>
                </c:pt>
                <c:pt idx="29">
                  <c:v>0.20000000000000284</c:v>
                </c:pt>
                <c:pt idx="30">
                  <c:v>0.29999999999999716</c:v>
                </c:pt>
                <c:pt idx="31">
                  <c:v>107.4</c:v>
                </c:pt>
                <c:pt idx="32">
                  <c:v>222.4</c:v>
                </c:pt>
                <c:pt idx="33">
                  <c:v>222.4</c:v>
                </c:pt>
                <c:pt idx="34">
                  <c:v>222.4</c:v>
                </c:pt>
                <c:pt idx="35">
                  <c:v>222.4</c:v>
                </c:pt>
              </c:numCache>
            </c:numRef>
          </c:yVal>
          <c:smooth val="0"/>
        </c:ser>
        <c:ser>
          <c:idx val="4"/>
          <c:order val="1"/>
          <c:tx>
            <c:strRef>
              <c:f>Digital!$AK$4</c:f>
              <c:strCache>
                <c:ptCount val="1"/>
                <c:pt idx="0">
                  <c:v>Error min</c:v>
                </c:pt>
              </c:strCache>
            </c:strRef>
          </c:tx>
          <c:spPr>
            <a:ln w="3175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Digital!$AK$5:$AK$40</c:f>
              <c:numCache>
                <c:formatCode>0.00</c:formatCode>
                <c:ptCount val="36"/>
                <c:pt idx="0">
                  <c:v>-0.20000000000000284</c:v>
                </c:pt>
                <c:pt idx="1">
                  <c:v>-0.79999999999999716</c:v>
                </c:pt>
                <c:pt idx="2">
                  <c:v>-1.1000000000000014</c:v>
                </c:pt>
                <c:pt idx="3">
                  <c:v>-1</c:v>
                </c:pt>
                <c:pt idx="4">
                  <c:v>-0.80000000000000071</c:v>
                </c:pt>
                <c:pt idx="5">
                  <c:v>-0.59999999999999964</c:v>
                </c:pt>
                <c:pt idx="6">
                  <c:v>-0.40000000000000036</c:v>
                </c:pt>
                <c:pt idx="7">
                  <c:v>-0.40000000000000036</c:v>
                </c:pt>
                <c:pt idx="8">
                  <c:v>-0.4</c:v>
                </c:pt>
                <c:pt idx="9">
                  <c:v>-0.5</c:v>
                </c:pt>
                <c:pt idx="10">
                  <c:v>-0.59999999999999964</c:v>
                </c:pt>
                <c:pt idx="11">
                  <c:v>-0.69999999999999929</c:v>
                </c:pt>
                <c:pt idx="12">
                  <c:v>-0.69999999999999929</c:v>
                </c:pt>
                <c:pt idx="13">
                  <c:v>-0.60000000000000142</c:v>
                </c:pt>
                <c:pt idx="14">
                  <c:v>-0.60000000000000142</c:v>
                </c:pt>
                <c:pt idx="15">
                  <c:v>-0.5</c:v>
                </c:pt>
                <c:pt idx="16">
                  <c:v>-0.5</c:v>
                </c:pt>
                <c:pt idx="17">
                  <c:v>-0.5</c:v>
                </c:pt>
                <c:pt idx="18">
                  <c:v>-0.5</c:v>
                </c:pt>
                <c:pt idx="19">
                  <c:v>-0.60000000000000142</c:v>
                </c:pt>
                <c:pt idx="20">
                  <c:v>-0.79999999999999716</c:v>
                </c:pt>
                <c:pt idx="21">
                  <c:v>-0.90000000000000568</c:v>
                </c:pt>
                <c:pt idx="22">
                  <c:v>-1.0999999999999943</c:v>
                </c:pt>
                <c:pt idx="23">
                  <c:v>-1.2000000000000028</c:v>
                </c:pt>
                <c:pt idx="24">
                  <c:v>-1.4000000000000057</c:v>
                </c:pt>
                <c:pt idx="25">
                  <c:v>-1.5</c:v>
                </c:pt>
                <c:pt idx="26">
                  <c:v>-1.5999999999999943</c:v>
                </c:pt>
                <c:pt idx="27">
                  <c:v>-1.5999999999999943</c:v>
                </c:pt>
                <c:pt idx="28">
                  <c:v>-1.5999999999999943</c:v>
                </c:pt>
                <c:pt idx="29">
                  <c:v>-1.5999999999999943</c:v>
                </c:pt>
                <c:pt idx="30">
                  <c:v>-1.5999999999999943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Digital!$AL$4</c:f>
              <c:strCache>
                <c:ptCount val="1"/>
                <c:pt idx="0">
                  <c:v>Error max</c:v>
                </c:pt>
              </c:strCache>
            </c:strRef>
          </c:tx>
          <c:spPr>
            <a:ln w="3175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Digital!$AL$5:$AL$40</c:f>
              <c:numCache>
                <c:formatCode>0.00</c:formatCode>
                <c:ptCount val="36"/>
                <c:pt idx="0">
                  <c:v>1.2999999999999972</c:v>
                </c:pt>
                <c:pt idx="1">
                  <c:v>0.79999999999999716</c:v>
                </c:pt>
                <c:pt idx="2">
                  <c:v>0.60000000000000142</c:v>
                </c:pt>
                <c:pt idx="3">
                  <c:v>0.69999999999999929</c:v>
                </c:pt>
                <c:pt idx="4">
                  <c:v>0.89999999999999858</c:v>
                </c:pt>
                <c:pt idx="5">
                  <c:v>1</c:v>
                </c:pt>
                <c:pt idx="6">
                  <c:v>1.0999999999999996</c:v>
                </c:pt>
                <c:pt idx="7">
                  <c:v>1.1000000000000001</c:v>
                </c:pt>
                <c:pt idx="8">
                  <c:v>0.9</c:v>
                </c:pt>
                <c:pt idx="9">
                  <c:v>0.79999999999999982</c:v>
                </c:pt>
                <c:pt idx="10">
                  <c:v>0.59999999999999964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0.69999999999999929</c:v>
                </c:pt>
                <c:pt idx="15">
                  <c:v>0.89999999999999858</c:v>
                </c:pt>
                <c:pt idx="16">
                  <c:v>1</c:v>
                </c:pt>
                <c:pt idx="17">
                  <c:v>1.1000000000000014</c:v>
                </c:pt>
                <c:pt idx="18">
                  <c:v>1.2000000000000028</c:v>
                </c:pt>
                <c:pt idx="19">
                  <c:v>1.2999999999999972</c:v>
                </c:pt>
                <c:pt idx="20">
                  <c:v>1.2999999999999972</c:v>
                </c:pt>
                <c:pt idx="21">
                  <c:v>1.2999999999999972</c:v>
                </c:pt>
                <c:pt idx="22">
                  <c:v>1.2000000000000028</c:v>
                </c:pt>
                <c:pt idx="23">
                  <c:v>1.2000000000000028</c:v>
                </c:pt>
                <c:pt idx="24">
                  <c:v>1.2999999999999972</c:v>
                </c:pt>
                <c:pt idx="25">
                  <c:v>1.2999999999999972</c:v>
                </c:pt>
                <c:pt idx="26">
                  <c:v>1.5</c:v>
                </c:pt>
                <c:pt idx="27">
                  <c:v>1.5999999999999943</c:v>
                </c:pt>
                <c:pt idx="28">
                  <c:v>1.7999999999999972</c:v>
                </c:pt>
                <c:pt idx="29">
                  <c:v>2.0999999999999943</c:v>
                </c:pt>
                <c:pt idx="30">
                  <c:v>2.2000000000000028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94592"/>
        <c:axId val="128496768"/>
      </c:scatterChart>
      <c:valAx>
        <c:axId val="128494592"/>
        <c:scaling>
          <c:orientation val="minMax"/>
          <c:max val="120"/>
          <c:min val="-4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2448021270068553"/>
              <c:y val="0.86080885874667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96768"/>
        <c:crossesAt val="-10"/>
        <c:crossBetween val="midCat"/>
        <c:majorUnit val="20"/>
      </c:valAx>
      <c:valAx>
        <c:axId val="1284967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4.1666700753314925E-2"/>
              <c:y val="0.329671437055769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494592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Gas Gauge Temperature Tolerance</a:t>
            </a:r>
          </a:p>
          <a:p>
            <a:pPr>
              <a:defRPr sz="5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(calibrated @ 25°C)</a:t>
            </a:r>
          </a:p>
        </c:rich>
      </c:tx>
      <c:layout>
        <c:manualLayout>
          <c:xMode val="edge"/>
          <c:yMode val="edge"/>
          <c:x val="0.20312555758116441"/>
          <c:y val="3.66300745253559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674902914898261"/>
          <c:y val="0.26277419090405296"/>
          <c:w val="0.7167496304812957"/>
          <c:h val="0.48540232486443075"/>
        </c:manualLayout>
      </c:layout>
      <c:scatterChart>
        <c:scatterStyle val="lineMarker"/>
        <c:varyColors val="0"/>
        <c:ser>
          <c:idx val="1"/>
          <c:order val="0"/>
          <c:tx>
            <c:strRef>
              <c:f>Digital!$AR$4</c:f>
              <c:strCache>
                <c:ptCount val="1"/>
                <c:pt idx="0">
                  <c:v>Error nom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Digital!$AR$5:$AR$35</c:f>
              <c:numCache>
                <c:formatCode>0.0</c:formatCode>
                <c:ptCount val="31"/>
                <c:pt idx="0">
                  <c:v>0.70000000000000284</c:v>
                </c:pt>
                <c:pt idx="1">
                  <c:v>0.10000000000000142</c:v>
                </c:pt>
                <c:pt idx="2">
                  <c:v>-9.9999999999997868E-2</c:v>
                </c:pt>
                <c:pt idx="3">
                  <c:v>0</c:v>
                </c:pt>
                <c:pt idx="4">
                  <c:v>0.10000000000000142</c:v>
                </c:pt>
                <c:pt idx="5">
                  <c:v>0.30000000000000071</c:v>
                </c:pt>
                <c:pt idx="6">
                  <c:v>0.40000000000000213</c:v>
                </c:pt>
                <c:pt idx="7">
                  <c:v>0.50000000000000178</c:v>
                </c:pt>
                <c:pt idx="8">
                  <c:v>0.40000000000000141</c:v>
                </c:pt>
                <c:pt idx="9">
                  <c:v>0.20000000000000107</c:v>
                </c:pt>
                <c:pt idx="10">
                  <c:v>0.10000000000000142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0.10000000000000142</c:v>
                </c:pt>
                <c:pt idx="15">
                  <c:v>0.30000000000000426</c:v>
                </c:pt>
                <c:pt idx="16">
                  <c:v>0.39999999999999858</c:v>
                </c:pt>
                <c:pt idx="17">
                  <c:v>0.39999999999999858</c:v>
                </c:pt>
                <c:pt idx="18">
                  <c:v>0.39999999999999858</c:v>
                </c:pt>
                <c:pt idx="19">
                  <c:v>0.39999999999999858</c:v>
                </c:pt>
                <c:pt idx="20">
                  <c:v>0.30000000000000426</c:v>
                </c:pt>
                <c:pt idx="21">
                  <c:v>0.30000000000001137</c:v>
                </c:pt>
                <c:pt idx="22">
                  <c:v>0.19999999999998863</c:v>
                </c:pt>
                <c:pt idx="23">
                  <c:v>9.9999999999994316E-2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9.9999999999994316E-2</c:v>
                </c:pt>
                <c:pt idx="28">
                  <c:v>0.19999999999998863</c:v>
                </c:pt>
                <c:pt idx="29">
                  <c:v>0.30000000000001137</c:v>
                </c:pt>
                <c:pt idx="30">
                  <c:v>0.40000000000000568</c:v>
                </c:pt>
              </c:numCache>
            </c:numRef>
          </c:yVal>
          <c:smooth val="0"/>
        </c:ser>
        <c:ser>
          <c:idx val="4"/>
          <c:order val="1"/>
          <c:tx>
            <c:strRef>
              <c:f>Digital!$AU$4</c:f>
              <c:strCache>
                <c:ptCount val="1"/>
                <c:pt idx="0">
                  <c:v>Error min</c:v>
                </c:pt>
              </c:strCache>
            </c:strRef>
          </c:tx>
          <c:spPr>
            <a:ln w="3175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Digital!$AU$5:$AU$35</c:f>
              <c:numCache>
                <c:formatCode>0.00</c:formatCode>
                <c:ptCount val="31"/>
                <c:pt idx="0">
                  <c:v>0.39999999999999858</c:v>
                </c:pt>
                <c:pt idx="1">
                  <c:v>-0.19999999999999574</c:v>
                </c:pt>
                <c:pt idx="2">
                  <c:v>-0.5</c:v>
                </c:pt>
                <c:pt idx="3">
                  <c:v>-0.39999999999999858</c:v>
                </c:pt>
                <c:pt idx="4">
                  <c:v>-0.19999999999999929</c:v>
                </c:pt>
                <c:pt idx="5">
                  <c:v>0</c:v>
                </c:pt>
                <c:pt idx="6">
                  <c:v>0.20000000000000107</c:v>
                </c:pt>
                <c:pt idx="7">
                  <c:v>0.20000000000000107</c:v>
                </c:pt>
                <c:pt idx="8">
                  <c:v>0.2000000000000014</c:v>
                </c:pt>
                <c:pt idx="9">
                  <c:v>0.10000000000000142</c:v>
                </c:pt>
                <c:pt idx="10">
                  <c:v>0</c:v>
                </c:pt>
                <c:pt idx="11">
                  <c:v>-9.9999999999997868E-2</c:v>
                </c:pt>
                <c:pt idx="12">
                  <c:v>-9.9999999999997868E-2</c:v>
                </c:pt>
                <c:pt idx="13">
                  <c:v>0</c:v>
                </c:pt>
                <c:pt idx="14">
                  <c:v>0</c:v>
                </c:pt>
                <c:pt idx="15">
                  <c:v>0.10000000000000142</c:v>
                </c:pt>
                <c:pt idx="16">
                  <c:v>0.10000000000000142</c:v>
                </c:pt>
                <c:pt idx="17">
                  <c:v>0.10000000000000142</c:v>
                </c:pt>
                <c:pt idx="18">
                  <c:v>0.10000000000000142</c:v>
                </c:pt>
                <c:pt idx="19">
                  <c:v>0</c:v>
                </c:pt>
                <c:pt idx="20">
                  <c:v>-0.19999999999999574</c:v>
                </c:pt>
                <c:pt idx="21">
                  <c:v>-0.30000000000001137</c:v>
                </c:pt>
                <c:pt idx="22">
                  <c:v>-0.5</c:v>
                </c:pt>
                <c:pt idx="23">
                  <c:v>-0.59999999999999432</c:v>
                </c:pt>
                <c:pt idx="24">
                  <c:v>-0.80000000000001137</c:v>
                </c:pt>
                <c:pt idx="25">
                  <c:v>-0.90000000000000568</c:v>
                </c:pt>
                <c:pt idx="26">
                  <c:v>-1</c:v>
                </c:pt>
                <c:pt idx="27">
                  <c:v>-1</c:v>
                </c:pt>
                <c:pt idx="28">
                  <c:v>-1</c:v>
                </c:pt>
                <c:pt idx="29">
                  <c:v>-1</c:v>
                </c:pt>
                <c:pt idx="30">
                  <c:v>-1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Digital!$AV$4</c:f>
              <c:strCache>
                <c:ptCount val="1"/>
                <c:pt idx="0">
                  <c:v>Error max</c:v>
                </c:pt>
              </c:strCache>
            </c:strRef>
          </c:tx>
          <c:spPr>
            <a:ln w="3175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Accuracy!$F$4:$F$34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Digital!$AV$5:$AV$35</c:f>
              <c:numCache>
                <c:formatCode>0.00</c:formatCode>
                <c:ptCount val="31"/>
                <c:pt idx="0">
                  <c:v>0.79999999999999716</c:v>
                </c:pt>
                <c:pt idx="1">
                  <c:v>0.29999999999999716</c:v>
                </c:pt>
                <c:pt idx="2">
                  <c:v>0.10000000000000142</c:v>
                </c:pt>
                <c:pt idx="3">
                  <c:v>0.19999999999999929</c:v>
                </c:pt>
                <c:pt idx="4">
                  <c:v>0.39999999999999858</c:v>
                </c:pt>
                <c:pt idx="5">
                  <c:v>0.5</c:v>
                </c:pt>
                <c:pt idx="6">
                  <c:v>0.59999999999999964</c:v>
                </c:pt>
                <c:pt idx="7">
                  <c:v>0.59999999999999964</c:v>
                </c:pt>
                <c:pt idx="8">
                  <c:v>0.4</c:v>
                </c:pt>
                <c:pt idx="9">
                  <c:v>0.29999999999999982</c:v>
                </c:pt>
                <c:pt idx="10">
                  <c:v>9.9999999999999645E-2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0.19999999999999929</c:v>
                </c:pt>
                <c:pt idx="15">
                  <c:v>0.39999999999999858</c:v>
                </c:pt>
                <c:pt idx="16">
                  <c:v>0.5</c:v>
                </c:pt>
                <c:pt idx="17">
                  <c:v>0.60000000000000142</c:v>
                </c:pt>
                <c:pt idx="18">
                  <c:v>0.70000000000000284</c:v>
                </c:pt>
                <c:pt idx="19">
                  <c:v>0.79999999999999716</c:v>
                </c:pt>
                <c:pt idx="20">
                  <c:v>0.79999999999999716</c:v>
                </c:pt>
                <c:pt idx="21">
                  <c:v>0.79999999999999716</c:v>
                </c:pt>
                <c:pt idx="22">
                  <c:v>0.70000000000000284</c:v>
                </c:pt>
                <c:pt idx="23">
                  <c:v>0.70000000000000284</c:v>
                </c:pt>
                <c:pt idx="24">
                  <c:v>0.79999999999999716</c:v>
                </c:pt>
                <c:pt idx="25">
                  <c:v>0.79999999999999716</c:v>
                </c:pt>
                <c:pt idx="26">
                  <c:v>1</c:v>
                </c:pt>
                <c:pt idx="27">
                  <c:v>1.0999999999999943</c:v>
                </c:pt>
                <c:pt idx="28">
                  <c:v>1.2999999999999972</c:v>
                </c:pt>
                <c:pt idx="29">
                  <c:v>1.5999999999999943</c:v>
                </c:pt>
                <c:pt idx="30">
                  <c:v>1.7000000000000028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529152"/>
        <c:axId val="128531072"/>
      </c:scatterChart>
      <c:valAx>
        <c:axId val="128529152"/>
        <c:scaling>
          <c:orientation val="minMax"/>
          <c:max val="120"/>
          <c:min val="-4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42448030203121201"/>
              <c:y val="0.86080885874667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31072"/>
        <c:crossesAt val="-10"/>
        <c:crossBetween val="midCat"/>
        <c:majorUnit val="20"/>
      </c:valAx>
      <c:valAx>
        <c:axId val="128531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4.1666602019575144E-2"/>
              <c:y val="0.3296714370557697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29152"/>
        <c:crossesAt val="-40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Thermistor Temp. Error</a:t>
            </a:r>
          </a:p>
        </c:rich>
      </c:tx>
      <c:layout>
        <c:manualLayout>
          <c:xMode val="edge"/>
          <c:yMode val="edge"/>
          <c:x val="0.30468845144356982"/>
          <c:y val="3.6764777096589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50024108916162"/>
          <c:y val="0.21402252584201642"/>
          <c:w val="0.53500065307696909"/>
          <c:h val="0.54612644525204157"/>
        </c:manualLayout>
      </c:layout>
      <c:scatterChart>
        <c:scatterStyle val="lineMarker"/>
        <c:varyColors val="0"/>
        <c:ser>
          <c:idx val="0"/>
          <c:order val="0"/>
          <c:tx>
            <c:strRef>
              <c:f>Thermistor!$W$4</c:f>
              <c:strCache>
                <c:ptCount val="1"/>
                <c:pt idx="0">
                  <c:v>Min Err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Thermistor!$W$5:$W$35</c:f>
              <c:numCache>
                <c:formatCode>0.00%</c:formatCode>
                <c:ptCount val="31"/>
                <c:pt idx="0">
                  <c:v>-3.864878161178098E-2</c:v>
                </c:pt>
                <c:pt idx="1">
                  <c:v>-3.6063212788440713E-2</c:v>
                </c:pt>
                <c:pt idx="2">
                  <c:v>-3.3570355906455185E-2</c:v>
                </c:pt>
                <c:pt idx="3">
                  <c:v>-3.1123216222694539E-2</c:v>
                </c:pt>
                <c:pt idx="4">
                  <c:v>-2.8763892480728637E-2</c:v>
                </c:pt>
                <c:pt idx="5">
                  <c:v>-2.6448413546966254E-2</c:v>
                </c:pt>
                <c:pt idx="6">
                  <c:v>-2.4214473706122619E-2</c:v>
                </c:pt>
                <c:pt idx="7">
                  <c:v>-2.2012739462489606E-2</c:v>
                </c:pt>
                <c:pt idx="8">
                  <c:v>-1.9885642945384752E-2</c:v>
                </c:pt>
                <c:pt idx="9">
                  <c:v>-1.7797333878812327E-2</c:v>
                </c:pt>
                <c:pt idx="10">
                  <c:v>-1.5780123882311647E-2</c:v>
                </c:pt>
                <c:pt idx="11">
                  <c:v>-1.3800048948366617E-2</c:v>
                </c:pt>
                <c:pt idx="12">
                  <c:v>-1.1877174417486591E-2</c:v>
                </c:pt>
                <c:pt idx="13">
                  <c:v>-1.0000000000000009E-2</c:v>
                </c:pt>
                <c:pt idx="14">
                  <c:v>-1.1827480143094093E-2</c:v>
                </c:pt>
                <c:pt idx="15">
                  <c:v>-1.3609708008554433E-2</c:v>
                </c:pt>
                <c:pt idx="16">
                  <c:v>-1.5332407099217349E-2</c:v>
                </c:pt>
                <c:pt idx="17">
                  <c:v>-1.7014992678240914E-2</c:v>
                </c:pt>
                <c:pt idx="18">
                  <c:v>-1.8645026300161405E-2</c:v>
                </c:pt>
                <c:pt idx="19">
                  <c:v>-2.0238618602661518E-2</c:v>
                </c:pt>
                <c:pt idx="20">
                  <c:v>-2.178286921317274E-2</c:v>
                </c:pt>
                <c:pt idx="21">
                  <c:v>-2.3291792255684229E-2</c:v>
                </c:pt>
                <c:pt idx="22">
                  <c:v>-2.4753621064754094E-2</c:v>
                </c:pt>
                <c:pt idx="23">
                  <c:v>-2.6183238836904765E-2</c:v>
                </c:pt>
                <c:pt idx="24">
                  <c:v>-2.7572672457091163E-2</c:v>
                </c:pt>
                <c:pt idx="25">
                  <c:v>-2.8927023067147783E-2</c:v>
                </c:pt>
                <c:pt idx="26">
                  <c:v>-3.0250573009746318E-2</c:v>
                </c:pt>
                <c:pt idx="27">
                  <c:v>-3.1542443354961702E-2</c:v>
                </c:pt>
                <c:pt idx="28">
                  <c:v>-3.2798927735786854E-2</c:v>
                </c:pt>
                <c:pt idx="29">
                  <c:v>-3.4024712057854956E-2</c:v>
                </c:pt>
                <c:pt idx="30">
                  <c:v>-3.5217106857350466E-2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Thermistor!$X$4</c:f>
              <c:strCache>
                <c:ptCount val="1"/>
                <c:pt idx="0">
                  <c:v>Max Err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Thermistor!$X$5:$X$35</c:f>
              <c:numCache>
                <c:formatCode>0.00%</c:formatCode>
                <c:ptCount val="31"/>
                <c:pt idx="0">
                  <c:v>4.0098541380548358E-2</c:v>
                </c:pt>
                <c:pt idx="1">
                  <c:v>3.7308683790847619E-2</c:v>
                </c:pt>
                <c:pt idx="2">
                  <c:v>3.4632997974568758E-2</c:v>
                </c:pt>
                <c:pt idx="3">
                  <c:v>3.2019774590682282E-2</c:v>
                </c:pt>
                <c:pt idx="4">
                  <c:v>2.9512795353070498E-2</c:v>
                </c:pt>
                <c:pt idx="5">
                  <c:v>2.7064219208930318E-2</c:v>
                </c:pt>
                <c:pt idx="6">
                  <c:v>2.4712883165741939E-2</c:v>
                </c:pt>
                <c:pt idx="7">
                  <c:v>2.2405955932847998E-2</c:v>
                </c:pt>
                <c:pt idx="8">
                  <c:v>2.0187075929429144E-2</c:v>
                </c:pt>
                <c:pt idx="9">
                  <c:v>1.8018006353720084E-2</c:v>
                </c:pt>
                <c:pt idx="10">
                  <c:v>1.5931525325583396E-2</c:v>
                </c:pt>
                <c:pt idx="11">
                  <c:v>1.3891755859202437E-2</c:v>
                </c:pt>
                <c:pt idx="12">
                  <c:v>1.1918735315666895E-2</c:v>
                </c:pt>
                <c:pt idx="13">
                  <c:v>1.0000000000000009E-2</c:v>
                </c:pt>
                <c:pt idx="14">
                  <c:v>1.186784686624609E-2</c:v>
                </c:pt>
                <c:pt idx="15">
                  <c:v>1.3696108039830124E-2</c:v>
                </c:pt>
                <c:pt idx="16">
                  <c:v>1.5469593199816112E-2</c:v>
                </c:pt>
                <c:pt idx="17">
                  <c:v>1.7207782979648423E-2</c:v>
                </c:pt>
                <c:pt idx="18">
                  <c:v>1.8897368227771993E-2</c:v>
                </c:pt>
                <c:pt idx="19">
                  <c:v>2.0554615628898931E-2</c:v>
                </c:pt>
                <c:pt idx="20">
                  <c:v>2.2165701796422743E-2</c:v>
                </c:pt>
                <c:pt idx="21">
                  <c:v>2.3744852425521268E-2</c:v>
                </c:pt>
                <c:pt idx="22">
                  <c:v>2.527937718842943E-2</c:v>
                </c:pt>
                <c:pt idx="23">
                  <c:v>2.6784544975126057E-2</c:v>
                </c:pt>
                <c:pt idx="24">
                  <c:v>2.8251645834047379E-2</c:v>
                </c:pt>
                <c:pt idx="25">
                  <c:v>2.9685743246813612E-2</c:v>
                </c:pt>
                <c:pt idx="26">
                  <c:v>3.1091096494197279E-2</c:v>
                </c:pt>
                <c:pt idx="27">
                  <c:v>3.2466516616262986E-2</c:v>
                </c:pt>
                <c:pt idx="28">
                  <c:v>3.380778689506525E-2</c:v>
                </c:pt>
                <c:pt idx="29">
                  <c:v>3.5119647967522871E-2</c:v>
                </c:pt>
                <c:pt idx="30">
                  <c:v>3.6398973392823386E-2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Thermistor!$Z$4</c:f>
              <c:strCache>
                <c:ptCount val="1"/>
                <c:pt idx="0">
                  <c:v>Tol min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Thermistor!$Z$5:$Z$35</c:f>
              <c:numCache>
                <c:formatCode>0.00</c:formatCode>
                <c:ptCount val="31"/>
                <c:pt idx="0">
                  <c:v>-0.72493174726116649</c:v>
                </c:pt>
                <c:pt idx="1">
                  <c:v>-0.70323761119436767</c:v>
                </c:pt>
                <c:pt idx="2">
                  <c:v>-0.63964162647653211</c:v>
                </c:pt>
                <c:pt idx="3">
                  <c:v>-0.62187611954584554</c:v>
                </c:pt>
                <c:pt idx="4">
                  <c:v>-0.55896798170971351</c:v>
                </c:pt>
                <c:pt idx="5">
                  <c:v>-0.53756239477564804</c:v>
                </c:pt>
                <c:pt idx="6">
                  <c:v>-0.47145293398386912</c:v>
                </c:pt>
                <c:pt idx="7">
                  <c:v>-0.46522318123965078</c:v>
                </c:pt>
                <c:pt idx="8">
                  <c:v>-0.41857515211358987</c:v>
                </c:pt>
                <c:pt idx="9">
                  <c:v>-0.41011352542318491</c:v>
                </c:pt>
                <c:pt idx="10">
                  <c:v>-0.35775167973980615</c:v>
                </c:pt>
                <c:pt idx="11">
                  <c:v>-0.33985653826823636</c:v>
                </c:pt>
                <c:pt idx="12">
                  <c:v>-0.30205325294866725</c:v>
                </c:pt>
                <c:pt idx="13">
                  <c:v>-0.26907354775426029</c:v>
                </c:pt>
                <c:pt idx="14">
                  <c:v>-0.33685545683511009</c:v>
                </c:pt>
                <c:pt idx="15">
                  <c:v>-0.42350797149492792</c:v>
                </c:pt>
                <c:pt idx="16">
                  <c:v>-0.48203235962211011</c:v>
                </c:pt>
                <c:pt idx="17">
                  <c:v>-0.56347661917993719</c:v>
                </c:pt>
                <c:pt idx="18">
                  <c:v>-0.62482214261154922</c:v>
                </c:pt>
                <c:pt idx="19">
                  <c:v>-0.71079845359793126</c:v>
                </c:pt>
                <c:pt idx="20">
                  <c:v>-0.77501788589876242</c:v>
                </c:pt>
                <c:pt idx="21">
                  <c:v>-0.85807449382588175</c:v>
                </c:pt>
                <c:pt idx="22">
                  <c:v>-0.91494144428128266</c:v>
                </c:pt>
                <c:pt idx="23">
                  <c:v>-0.99185545013290266</c:v>
                </c:pt>
                <c:pt idx="24">
                  <c:v>-1.0559095591423215</c:v>
                </c:pt>
                <c:pt idx="25">
                  <c:v>-1.1204330270345508</c:v>
                </c:pt>
                <c:pt idx="26">
                  <c:v>-1.1972454025195702</c:v>
                </c:pt>
                <c:pt idx="27">
                  <c:v>-1.2790291067901762</c:v>
                </c:pt>
                <c:pt idx="28">
                  <c:v>-1.3463371140458662</c:v>
                </c:pt>
                <c:pt idx="29">
                  <c:v>-1.4130953756038593</c:v>
                </c:pt>
                <c:pt idx="30">
                  <c:v>-1.4632607661239945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546688"/>
        <c:axId val="128557056"/>
      </c:scatterChart>
      <c:scatterChart>
        <c:scatterStyle val="lineMarker"/>
        <c:varyColors val="0"/>
        <c:ser>
          <c:idx val="4"/>
          <c:order val="3"/>
          <c:tx>
            <c:strRef>
              <c:f>Thermistor!$AA$4</c:f>
              <c:strCache>
                <c:ptCount val="1"/>
                <c:pt idx="0">
                  <c:v>Tol max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Thermistor!$C$5:$C$35</c:f>
              <c:numCache>
                <c:formatCode>General</c:formatCode>
                <c:ptCount val="31"/>
                <c:pt idx="0">
                  <c:v>-40</c:v>
                </c:pt>
                <c:pt idx="1">
                  <c:v>-35</c:v>
                </c:pt>
                <c:pt idx="2">
                  <c:v>-30</c:v>
                </c:pt>
                <c:pt idx="3">
                  <c:v>-25</c:v>
                </c:pt>
                <c:pt idx="4">
                  <c:v>-20</c:v>
                </c:pt>
                <c:pt idx="5">
                  <c:v>-15</c:v>
                </c:pt>
                <c:pt idx="6">
                  <c:v>-10</c:v>
                </c:pt>
                <c:pt idx="7">
                  <c:v>-5</c:v>
                </c:pt>
                <c:pt idx="8">
                  <c:v>0</c:v>
                </c:pt>
                <c:pt idx="9">
                  <c:v>5</c:v>
                </c:pt>
                <c:pt idx="10">
                  <c:v>10</c:v>
                </c:pt>
                <c:pt idx="11">
                  <c:v>15</c:v>
                </c:pt>
                <c:pt idx="12">
                  <c:v>20</c:v>
                </c:pt>
                <c:pt idx="13">
                  <c:v>25</c:v>
                </c:pt>
                <c:pt idx="14">
                  <c:v>30</c:v>
                </c:pt>
                <c:pt idx="15">
                  <c:v>35</c:v>
                </c:pt>
                <c:pt idx="16">
                  <c:v>40</c:v>
                </c:pt>
                <c:pt idx="17">
                  <c:v>45</c:v>
                </c:pt>
                <c:pt idx="18">
                  <c:v>50</c:v>
                </c:pt>
                <c:pt idx="19">
                  <c:v>55</c:v>
                </c:pt>
                <c:pt idx="20">
                  <c:v>60</c:v>
                </c:pt>
                <c:pt idx="21">
                  <c:v>65</c:v>
                </c:pt>
                <c:pt idx="22">
                  <c:v>70</c:v>
                </c:pt>
                <c:pt idx="23">
                  <c:v>75</c:v>
                </c:pt>
                <c:pt idx="24">
                  <c:v>80</c:v>
                </c:pt>
                <c:pt idx="25">
                  <c:v>85</c:v>
                </c:pt>
                <c:pt idx="26">
                  <c:v>90</c:v>
                </c:pt>
                <c:pt idx="27">
                  <c:v>95</c:v>
                </c:pt>
                <c:pt idx="28">
                  <c:v>100</c:v>
                </c:pt>
                <c:pt idx="29">
                  <c:v>105</c:v>
                </c:pt>
                <c:pt idx="30">
                  <c:v>110</c:v>
                </c:pt>
              </c:numCache>
            </c:numRef>
          </c:xVal>
          <c:yVal>
            <c:numRef>
              <c:f>Thermistor!$AA$5:$AA$35</c:f>
              <c:numCache>
                <c:formatCode>0.00</c:formatCode>
                <c:ptCount val="31"/>
                <c:pt idx="0">
                  <c:v>0.71981519360721791</c:v>
                </c:pt>
                <c:pt idx="1">
                  <c:v>0.68568970186134948</c:v>
                </c:pt>
                <c:pt idx="2">
                  <c:v>0.69160014171686157</c:v>
                </c:pt>
                <c:pt idx="3">
                  <c:v>0.6487804317425514</c:v>
                </c:pt>
                <c:pt idx="4">
                  <c:v>0.64930233105650359</c:v>
                </c:pt>
                <c:pt idx="5">
                  <c:v>0.60541992144908363</c:v>
                </c:pt>
                <c:pt idx="6">
                  <c:v>0.60446294262402489</c:v>
                </c:pt>
                <c:pt idx="7">
                  <c:v>0.54040467020746519</c:v>
                </c:pt>
                <c:pt idx="8">
                  <c:v>0.51492938826709178</c:v>
                </c:pt>
                <c:pt idx="9">
                  <c:v>0.44827733277321613</c:v>
                </c:pt>
                <c:pt idx="10">
                  <c:v>0.42376192151101577</c:v>
                </c:pt>
                <c:pt idx="11">
                  <c:v>0.36179225848371743</c:v>
                </c:pt>
                <c:pt idx="12">
                  <c:v>0.31759051170052999</c:v>
                </c:pt>
                <c:pt idx="13">
                  <c:v>0.26601353429572328</c:v>
                </c:pt>
                <c:pt idx="14">
                  <c:v>0.31429215759482076</c:v>
                </c:pt>
                <c:pt idx="15">
                  <c:v>0.34705573914567367</c:v>
                </c:pt>
                <c:pt idx="16">
                  <c:v>0.41020413061647787</c:v>
                </c:pt>
                <c:pt idx="17">
                  <c:v>0.45392506773623609</c:v>
                </c:pt>
                <c:pt idx="18">
                  <c:v>0.52019213071997683</c:v>
                </c:pt>
                <c:pt idx="19">
                  <c:v>0.565419562687282</c:v>
                </c:pt>
                <c:pt idx="20">
                  <c:v>0.63481262436215502</c:v>
                </c:pt>
                <c:pt idx="21">
                  <c:v>0.68885726351510357</c:v>
                </c:pt>
                <c:pt idx="22">
                  <c:v>0.77137054970404506</c:v>
                </c:pt>
                <c:pt idx="23">
                  <c:v>0.83739568371754558</c:v>
                </c:pt>
                <c:pt idx="24">
                  <c:v>0.91893013424845549</c:v>
                </c:pt>
                <c:pt idx="25">
                  <c:v>1.0030271096686647</c:v>
                </c:pt>
                <c:pt idx="26">
                  <c:v>1.0782353492315337</c:v>
                </c:pt>
                <c:pt idx="27">
                  <c:v>1.1516785623542773</c:v>
                </c:pt>
                <c:pt idx="28">
                  <c:v>1.2422105538694836</c:v>
                </c:pt>
                <c:pt idx="29">
                  <c:v>1.3363345889886205</c:v>
                </c:pt>
                <c:pt idx="30">
                  <c:v>1.4495775072583683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558976"/>
        <c:axId val="128560512"/>
      </c:scatterChart>
      <c:valAx>
        <c:axId val="128546688"/>
        <c:scaling>
          <c:orientation val="minMax"/>
          <c:max val="120"/>
          <c:min val="-4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Temperature (°C)</a:t>
                </a:r>
              </a:p>
            </c:rich>
          </c:tx>
          <c:layout>
            <c:manualLayout>
              <c:xMode val="edge"/>
              <c:yMode val="edge"/>
              <c:x val="0.35937585301837288"/>
              <c:y val="0.86029423443840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57056"/>
        <c:crossesAt val="0"/>
        <c:crossBetween val="midCat"/>
        <c:majorUnit val="20"/>
      </c:valAx>
      <c:valAx>
        <c:axId val="128557056"/>
        <c:scaling>
          <c:orientation val="minMax"/>
          <c:max val="0.0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Resistance Error</a:t>
                </a:r>
              </a:p>
            </c:rich>
          </c:tx>
          <c:layout>
            <c:manualLayout>
              <c:xMode val="edge"/>
              <c:yMode val="edge"/>
              <c:x val="4.1666666666666664E-2"/>
              <c:y val="0.28676487394795269"/>
            </c:manualLayout>
          </c:layout>
          <c:overlay val="0"/>
          <c:spPr>
            <a:noFill/>
            <a:ln w="2540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46688"/>
        <c:crossesAt val="-40"/>
        <c:crossBetween val="midCat"/>
      </c:valAx>
      <c:valAx>
        <c:axId val="128558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28560512"/>
        <c:crosses val="autoZero"/>
        <c:crossBetween val="midCat"/>
      </c:valAx>
      <c:valAx>
        <c:axId val="128560512"/>
        <c:scaling>
          <c:orientation val="minMax"/>
          <c:max val="1.4"/>
        </c:scaling>
        <c:delete val="0"/>
        <c:axPos val="r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Temp Error (°C)</a:t>
                </a:r>
              </a:p>
            </c:rich>
          </c:tx>
          <c:layout>
            <c:manualLayout>
              <c:xMode val="edge"/>
              <c:yMode val="edge"/>
              <c:x val="0.82500104986876632"/>
              <c:y val="0.3025834132357075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3366FF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8558976"/>
        <c:crosses val="max"/>
        <c:crossBetween val="midCat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 orientation="landscape" horizontalDpi="200" verticalDpi="20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14</xdr:col>
      <xdr:colOff>0</xdr:colOff>
      <xdr:row>17</xdr:row>
      <xdr:rowOff>0</xdr:rowOff>
    </xdr:to>
    <xdr:graphicFrame macro="">
      <xdr:nvGraphicFramePr>
        <xdr:cNvPr id="344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14</xdr:col>
      <xdr:colOff>0</xdr:colOff>
      <xdr:row>33</xdr:row>
      <xdr:rowOff>0</xdr:rowOff>
    </xdr:to>
    <xdr:graphicFrame macro="">
      <xdr:nvGraphicFramePr>
        <xdr:cNvPr id="344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17</xdr:row>
      <xdr:rowOff>0</xdr:rowOff>
    </xdr:from>
    <xdr:to>
      <xdr:col>20</xdr:col>
      <xdr:colOff>0</xdr:colOff>
      <xdr:row>33</xdr:row>
      <xdr:rowOff>0</xdr:rowOff>
    </xdr:to>
    <xdr:graphicFrame macro="">
      <xdr:nvGraphicFramePr>
        <xdr:cNvPr id="344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14</xdr:col>
      <xdr:colOff>9525</xdr:colOff>
      <xdr:row>33</xdr:row>
      <xdr:rowOff>9525</xdr:rowOff>
    </xdr:to>
    <xdr:graphicFrame macro="">
      <xdr:nvGraphicFramePr>
        <xdr:cNvPr id="3445" name="Chart 6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590550</xdr:colOff>
      <xdr:row>16</xdr:row>
      <xdr:rowOff>142875</xdr:rowOff>
    </xdr:from>
    <xdr:to>
      <xdr:col>20</xdr:col>
      <xdr:colOff>180975</xdr:colOff>
      <xdr:row>32</xdr:row>
      <xdr:rowOff>152400</xdr:rowOff>
    </xdr:to>
    <xdr:graphicFrame macro="">
      <xdr:nvGraphicFramePr>
        <xdr:cNvPr id="3446" name="Chart 6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0</xdr:colOff>
      <xdr:row>1</xdr:row>
      <xdr:rowOff>0</xdr:rowOff>
    </xdr:from>
    <xdr:to>
      <xdr:col>20</xdr:col>
      <xdr:colOff>142875</xdr:colOff>
      <xdr:row>16</xdr:row>
      <xdr:rowOff>152400</xdr:rowOff>
    </xdr:to>
    <xdr:graphicFrame macro="">
      <xdr:nvGraphicFramePr>
        <xdr:cNvPr id="3447" name="Chart 1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19050</xdr:colOff>
      <xdr:row>40</xdr:row>
      <xdr:rowOff>9525</xdr:rowOff>
    </xdr:from>
    <xdr:to>
      <xdr:col>6</xdr:col>
      <xdr:colOff>438150</xdr:colOff>
      <xdr:row>59</xdr:row>
      <xdr:rowOff>114300</xdr:rowOff>
    </xdr:to>
    <xdr:pic>
      <xdr:nvPicPr>
        <xdr:cNvPr id="3448" name="Picture 139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9050" y="6543675"/>
          <a:ext cx="3810000" cy="339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9525</xdr:colOff>
      <xdr:row>41</xdr:row>
      <xdr:rowOff>12247</xdr:rowOff>
    </xdr:from>
    <xdr:to>
      <xdr:col>27</xdr:col>
      <xdr:colOff>9525</xdr:colOff>
      <xdr:row>44</xdr:row>
      <xdr:rowOff>156543</xdr:rowOff>
    </xdr:to>
    <xdr:sp macro="" textlink="">
      <xdr:nvSpPr>
        <xdr:cNvPr id="1096" name="Text Box 72"/>
        <xdr:cNvSpPr txBox="1">
          <a:spLocks noChangeArrowheads="1"/>
        </xdr:cNvSpPr>
      </xdr:nvSpPr>
      <xdr:spPr bwMode="auto">
        <a:xfrm>
          <a:off x="15573375" y="5838825"/>
          <a:ext cx="1409700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calculating tolerance using Steinberg Stein formula and Therm min/max values</a:t>
          </a:r>
        </a:p>
      </xdr:txBody>
    </xdr:sp>
    <xdr:clientData/>
  </xdr:twoCellAnchor>
  <xdr:twoCellAnchor>
    <xdr:from>
      <xdr:col>21</xdr:col>
      <xdr:colOff>600075</xdr:colOff>
      <xdr:row>41</xdr:row>
      <xdr:rowOff>12247</xdr:rowOff>
    </xdr:from>
    <xdr:to>
      <xdr:col>24</xdr:col>
      <xdr:colOff>28575</xdr:colOff>
      <xdr:row>43</xdr:row>
      <xdr:rowOff>155121</xdr:rowOff>
    </xdr:to>
    <xdr:sp macro="" textlink="">
      <xdr:nvSpPr>
        <xdr:cNvPr id="1097" name="Text Box 73"/>
        <xdr:cNvSpPr txBox="1">
          <a:spLocks noChangeArrowheads="1"/>
        </xdr:cNvSpPr>
      </xdr:nvSpPr>
      <xdr:spPr bwMode="auto">
        <a:xfrm>
          <a:off x="13725525" y="5838825"/>
          <a:ext cx="1257300" cy="4667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Resistance Error</a:t>
          </a:r>
        </a:p>
      </xdr:txBody>
    </xdr:sp>
    <xdr:clientData/>
  </xdr:twoCellAnchor>
  <xdr:twoCellAnchor>
    <xdr:from>
      <xdr:col>6</xdr:col>
      <xdr:colOff>28575</xdr:colOff>
      <xdr:row>40</xdr:row>
      <xdr:rowOff>145596</xdr:rowOff>
    </xdr:from>
    <xdr:to>
      <xdr:col>7</xdr:col>
      <xdr:colOff>581025</xdr:colOff>
      <xdr:row>43</xdr:row>
      <xdr:rowOff>155121</xdr:rowOff>
    </xdr:to>
    <xdr:sp macro="" textlink="">
      <xdr:nvSpPr>
        <xdr:cNvPr id="1098" name="Text Box 74"/>
        <xdr:cNvSpPr txBox="1">
          <a:spLocks noChangeArrowheads="1"/>
        </xdr:cNvSpPr>
      </xdr:nvSpPr>
      <xdr:spPr bwMode="auto">
        <a:xfrm>
          <a:off x="3914775" y="5810250"/>
          <a:ext cx="125730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Steinberg-Stein calculated temperature error</a:t>
          </a:r>
        </a:p>
      </xdr:txBody>
    </xdr:sp>
    <xdr:clientData/>
  </xdr:twoCellAnchor>
  <xdr:twoCellAnchor>
    <xdr:from>
      <xdr:col>9</xdr:col>
      <xdr:colOff>600075</xdr:colOff>
      <xdr:row>41</xdr:row>
      <xdr:rowOff>2722</xdr:rowOff>
    </xdr:from>
    <xdr:to>
      <xdr:col>14</xdr:col>
      <xdr:colOff>0</xdr:colOff>
      <xdr:row>44</xdr:row>
      <xdr:rowOff>2825</xdr:rowOff>
    </xdr:to>
    <xdr:sp macro="" textlink="">
      <xdr:nvSpPr>
        <xdr:cNvPr id="1099" name="Text Box 75"/>
        <xdr:cNvSpPr txBox="1">
          <a:spLocks noChangeArrowheads="1"/>
        </xdr:cNvSpPr>
      </xdr:nvSpPr>
      <xdr:spPr bwMode="auto">
        <a:xfrm>
          <a:off x="6410325" y="5829300"/>
          <a:ext cx="2447925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BETA calculation using Steinberg-Stein 1st order.</a:t>
          </a:r>
        </a:p>
      </xdr:txBody>
    </xdr:sp>
    <xdr:clientData/>
  </xdr:twoCellAnchor>
  <xdr:twoCellAnchor>
    <xdr:from>
      <xdr:col>17</xdr:col>
      <xdr:colOff>485775</xdr:colOff>
      <xdr:row>44</xdr:row>
      <xdr:rowOff>78922</xdr:rowOff>
    </xdr:from>
    <xdr:to>
      <xdr:col>21</xdr:col>
      <xdr:colOff>447675</xdr:colOff>
      <xdr:row>47</xdr:row>
      <xdr:rowOff>84524</xdr:rowOff>
    </xdr:to>
    <xdr:sp macro="" textlink="">
      <xdr:nvSpPr>
        <xdr:cNvPr id="1101" name="Text Box 77"/>
        <xdr:cNvSpPr txBox="1">
          <a:spLocks noChangeArrowheads="1"/>
        </xdr:cNvSpPr>
      </xdr:nvSpPr>
      <xdr:spPr bwMode="auto">
        <a:xfrm>
          <a:off x="11172825" y="6400800"/>
          <a:ext cx="240030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R_T=R_N*(1±ThermTol)*EXP(</a:t>
          </a:r>
          <a:r>
            <a:rPr lang="el-GR" sz="1000" b="0" i="0" strike="noStrike">
              <a:solidFill>
                <a:srgbClr val="000000"/>
              </a:solidFill>
              <a:latin typeface="Arial"/>
              <a:cs typeface="Arial"/>
            </a:rPr>
            <a:t>β(1±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betaTol)*(T_N-T)/(T_N*T)</a:t>
          </a:r>
        </a:p>
      </xdr:txBody>
    </xdr:sp>
    <xdr:clientData/>
  </xdr:twoCellAnchor>
  <xdr:twoCellAnchor>
    <xdr:from>
      <xdr:col>10</xdr:col>
      <xdr:colOff>0</xdr:colOff>
      <xdr:row>44</xdr:row>
      <xdr:rowOff>31297</xdr:rowOff>
    </xdr:from>
    <xdr:to>
      <xdr:col>14</xdr:col>
      <xdr:colOff>9525</xdr:colOff>
      <xdr:row>47</xdr:row>
      <xdr:rowOff>36899</xdr:rowOff>
    </xdr:to>
    <xdr:sp macro="" textlink="">
      <xdr:nvSpPr>
        <xdr:cNvPr id="1102" name="Text Box 78"/>
        <xdr:cNvSpPr txBox="1">
          <a:spLocks noChangeArrowheads="1"/>
        </xdr:cNvSpPr>
      </xdr:nvSpPr>
      <xdr:spPr bwMode="auto">
        <a:xfrm>
          <a:off x="6419850" y="6353175"/>
          <a:ext cx="2447925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1000" b="0" i="0" strike="noStrike">
              <a:solidFill>
                <a:srgbClr val="000000"/>
              </a:solidFill>
              <a:latin typeface="Arial"/>
              <a:cs typeface="Arial"/>
            </a:rPr>
            <a:t>β=</a:t>
          </a: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T*T_0/(T_0-T)*ln(R_T/R_T0)</a:t>
          </a:r>
        </a:p>
      </xdr:txBody>
    </xdr:sp>
    <xdr:clientData/>
  </xdr:twoCellAnchor>
  <xdr:twoCellAnchor>
    <xdr:from>
      <xdr:col>17</xdr:col>
      <xdr:colOff>466725</xdr:colOff>
      <xdr:row>41</xdr:row>
      <xdr:rowOff>2722</xdr:rowOff>
    </xdr:from>
    <xdr:to>
      <xdr:col>21</xdr:col>
      <xdr:colOff>447675</xdr:colOff>
      <xdr:row>44</xdr:row>
      <xdr:rowOff>2825</xdr:rowOff>
    </xdr:to>
    <xdr:sp macro="" textlink="">
      <xdr:nvSpPr>
        <xdr:cNvPr id="1103" name="Text Box 79"/>
        <xdr:cNvSpPr txBox="1">
          <a:spLocks noChangeArrowheads="1"/>
        </xdr:cNvSpPr>
      </xdr:nvSpPr>
      <xdr:spPr bwMode="auto">
        <a:xfrm>
          <a:off x="11153775" y="5829300"/>
          <a:ext cx="241935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53</xdr:row>
          <xdr:rowOff>28575</xdr:rowOff>
        </xdr:from>
        <xdr:to>
          <xdr:col>5</xdr:col>
          <xdr:colOff>523875</xdr:colOff>
          <xdr:row>55</xdr:row>
          <xdr:rowOff>95250</xdr:rowOff>
        </xdr:to>
        <xdr:sp macro="" textlink="">
          <xdr:nvSpPr>
            <xdr:cNvPr id="1093" name="Object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65</xdr:row>
          <xdr:rowOff>66675</xdr:rowOff>
        </xdr:from>
        <xdr:to>
          <xdr:col>6</xdr:col>
          <xdr:colOff>209550</xdr:colOff>
          <xdr:row>67</xdr:row>
          <xdr:rowOff>133350</xdr:rowOff>
        </xdr:to>
        <xdr:sp macro="" textlink="">
          <xdr:nvSpPr>
            <xdr:cNvPr id="1094" name="Object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600075</xdr:colOff>
      <xdr:row>44</xdr:row>
      <xdr:rowOff>31750</xdr:rowOff>
    </xdr:from>
    <xdr:to>
      <xdr:col>14</xdr:col>
      <xdr:colOff>561975</xdr:colOff>
      <xdr:row>47</xdr:row>
      <xdr:rowOff>41275</xdr:rowOff>
    </xdr:to>
    <xdr:sp macro="" textlink="">
      <xdr:nvSpPr>
        <xdr:cNvPr id="4099" name="Text Box 1027"/>
        <xdr:cNvSpPr txBox="1">
          <a:spLocks noChangeArrowheads="1"/>
        </xdr:cNvSpPr>
      </xdr:nvSpPr>
      <xdr:spPr bwMode="auto">
        <a:xfrm>
          <a:off x="6696075" y="6343650"/>
          <a:ext cx="240030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R_T=R_N*(1±Rtol)*(1±TempDrift(T-T_0))</a:t>
          </a:r>
        </a:p>
      </xdr:txBody>
    </xdr:sp>
    <xdr:clientData/>
  </xdr:twoCellAnchor>
  <xdr:twoCellAnchor>
    <xdr:from>
      <xdr:col>10</xdr:col>
      <xdr:colOff>600075</xdr:colOff>
      <xdr:row>41</xdr:row>
      <xdr:rowOff>12700</xdr:rowOff>
    </xdr:from>
    <xdr:to>
      <xdr:col>14</xdr:col>
      <xdr:colOff>581025</xdr:colOff>
      <xdr:row>44</xdr:row>
      <xdr:rowOff>22225</xdr:rowOff>
    </xdr:to>
    <xdr:sp macro="" textlink="">
      <xdr:nvSpPr>
        <xdr:cNvPr id="4100" name="Text Box 1028"/>
        <xdr:cNvSpPr txBox="1">
          <a:spLocks noChangeArrowheads="1"/>
        </xdr:cNvSpPr>
      </xdr:nvSpPr>
      <xdr:spPr bwMode="auto">
        <a:xfrm>
          <a:off x="6696075" y="5838825"/>
          <a:ext cx="241935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xdr:twoCellAnchor>
    <xdr:from>
      <xdr:col>19</xdr:col>
      <xdr:colOff>28575</xdr:colOff>
      <xdr:row>44</xdr:row>
      <xdr:rowOff>69850</xdr:rowOff>
    </xdr:from>
    <xdr:to>
      <xdr:col>22</xdr:col>
      <xdr:colOff>600075</xdr:colOff>
      <xdr:row>47</xdr:row>
      <xdr:rowOff>79375</xdr:rowOff>
    </xdr:to>
    <xdr:sp macro="" textlink="">
      <xdr:nvSpPr>
        <xdr:cNvPr id="4101" name="Text Box 1029"/>
        <xdr:cNvSpPr txBox="1">
          <a:spLocks noChangeArrowheads="1"/>
        </xdr:cNvSpPr>
      </xdr:nvSpPr>
      <xdr:spPr bwMode="auto">
        <a:xfrm>
          <a:off x="11610975" y="6381750"/>
          <a:ext cx="240030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R_T=R_N*(1±Rtol)*(1±TempDrift(T-T_0))</a:t>
          </a:r>
        </a:p>
      </xdr:txBody>
    </xdr:sp>
    <xdr:clientData/>
  </xdr:twoCellAnchor>
  <xdr:twoCellAnchor>
    <xdr:from>
      <xdr:col>19</xdr:col>
      <xdr:colOff>28575</xdr:colOff>
      <xdr:row>41</xdr:row>
      <xdr:rowOff>41275</xdr:rowOff>
    </xdr:from>
    <xdr:to>
      <xdr:col>23</xdr:col>
      <xdr:colOff>9525</xdr:colOff>
      <xdr:row>44</xdr:row>
      <xdr:rowOff>50800</xdr:rowOff>
    </xdr:to>
    <xdr:sp macro="" textlink="">
      <xdr:nvSpPr>
        <xdr:cNvPr id="4102" name="Text Box 1030"/>
        <xdr:cNvSpPr txBox="1">
          <a:spLocks noChangeArrowheads="1"/>
        </xdr:cNvSpPr>
      </xdr:nvSpPr>
      <xdr:spPr bwMode="auto">
        <a:xfrm>
          <a:off x="11610975" y="5867400"/>
          <a:ext cx="2419350" cy="4953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true resistance value with temp drift tolerance and tolerance </a:t>
          </a:r>
        </a:p>
      </xdr:txBody>
    </xdr:sp>
    <xdr:clientData/>
  </xdr:twoCellAnchor>
  <xdr:twoCellAnchor>
    <xdr:from>
      <xdr:col>26</xdr:col>
      <xdr:colOff>257175</xdr:colOff>
      <xdr:row>45</xdr:row>
      <xdr:rowOff>107950</xdr:rowOff>
    </xdr:from>
    <xdr:to>
      <xdr:col>30</xdr:col>
      <xdr:colOff>66675</xdr:colOff>
      <xdr:row>48</xdr:row>
      <xdr:rowOff>79375</xdr:rowOff>
    </xdr:to>
    <xdr:sp macro="" textlink="">
      <xdr:nvSpPr>
        <xdr:cNvPr id="4105" name="Text Box 1033"/>
        <xdr:cNvSpPr txBox="1">
          <a:spLocks noChangeArrowheads="1"/>
        </xdr:cNvSpPr>
      </xdr:nvSpPr>
      <xdr:spPr bwMode="auto">
        <a:xfrm>
          <a:off x="16106775" y="6581775"/>
          <a:ext cx="2400300" cy="45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Vout/Vin=(RTH+RPAD)/(RTH+RPAD+T+THERM)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38100</xdr:colOff>
      <xdr:row>44</xdr:row>
      <xdr:rowOff>107950</xdr:rowOff>
    </xdr:from>
    <xdr:to>
      <xdr:col>9</xdr:col>
      <xdr:colOff>28575</xdr:colOff>
      <xdr:row>52</xdr:row>
      <xdr:rowOff>69873</xdr:rowOff>
    </xdr:to>
    <xdr:sp macro="" textlink="">
      <xdr:nvSpPr>
        <xdr:cNvPr id="4106" name="Text Box 1034"/>
        <xdr:cNvSpPr txBox="1">
          <a:spLocks noChangeArrowheads="1"/>
        </xdr:cNvSpPr>
      </xdr:nvSpPr>
      <xdr:spPr bwMode="auto">
        <a:xfrm>
          <a:off x="4305300" y="6419850"/>
          <a:ext cx="1209675" cy="1266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Simple linear temperature  derating .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41</xdr:row>
      <xdr:rowOff>12700</xdr:rowOff>
    </xdr:from>
    <xdr:to>
      <xdr:col>11</xdr:col>
      <xdr:colOff>581025</xdr:colOff>
      <xdr:row>45</xdr:row>
      <xdr:rowOff>12700</xdr:rowOff>
    </xdr:to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5486400" y="5838825"/>
          <a:ext cx="1800225" cy="647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effective resolution in AD count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41</xdr:row>
      <xdr:rowOff>12247</xdr:rowOff>
    </xdr:from>
    <xdr:to>
      <xdr:col>14</xdr:col>
      <xdr:colOff>809625</xdr:colOff>
      <xdr:row>48</xdr:row>
      <xdr:rowOff>145597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10210800" y="5838825"/>
          <a:ext cx="1428750" cy="1266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Use BETA to calculate RTHERM for T-0.1degC: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R_T=R_T0*EXP((BETA(T0-T)/(T*T0)))</a:t>
          </a:r>
        </a:p>
      </xdr:txBody>
    </xdr:sp>
    <xdr:clientData/>
  </xdr:twoCellAnchor>
  <xdr:twoCellAnchor>
    <xdr:from>
      <xdr:col>16</xdr:col>
      <xdr:colOff>9525</xdr:colOff>
      <xdr:row>41</xdr:row>
      <xdr:rowOff>12247</xdr:rowOff>
    </xdr:from>
    <xdr:to>
      <xdr:col>17</xdr:col>
      <xdr:colOff>219075</xdr:colOff>
      <xdr:row>48</xdr:row>
      <xdr:rowOff>145597</xdr:rowOff>
    </xdr:to>
    <xdr:sp macro="" textlink="">
      <xdr:nvSpPr>
        <xdr:cNvPr id="7171" name="Text Box 3"/>
        <xdr:cNvSpPr txBox="1">
          <a:spLocks noChangeArrowheads="1"/>
        </xdr:cNvSpPr>
      </xdr:nvSpPr>
      <xdr:spPr bwMode="auto">
        <a:xfrm>
          <a:off x="12287250" y="5838825"/>
          <a:ext cx="1047750" cy="1266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minumum LSB for 0.1degC resolution</a:t>
          </a:r>
        </a:p>
      </xdr:txBody>
    </xdr:sp>
    <xdr:clientData/>
  </xdr:twoCellAnchor>
  <xdr:twoCellAnchor>
    <xdr:from>
      <xdr:col>29</xdr:col>
      <xdr:colOff>0</xdr:colOff>
      <xdr:row>43</xdr:row>
      <xdr:rowOff>156482</xdr:rowOff>
    </xdr:from>
    <xdr:to>
      <xdr:col>33</xdr:col>
      <xdr:colOff>361950</xdr:colOff>
      <xdr:row>50</xdr:row>
      <xdr:rowOff>88520</xdr:rowOff>
    </xdr:to>
    <xdr:sp macro="" textlink="">
      <xdr:nvSpPr>
        <xdr:cNvPr id="7173" name="Text Box 5"/>
        <xdr:cNvSpPr txBox="1">
          <a:spLocks noChangeArrowheads="1"/>
        </xdr:cNvSpPr>
      </xdr:nvSpPr>
      <xdr:spPr bwMode="auto">
        <a:xfrm>
          <a:off x="23174325" y="6315075"/>
          <a:ext cx="3381375" cy="10572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polynomial regression 3rd order for B coeffictients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b3x^3 + b2x^2 + b1x + m = y</a:t>
          </a:r>
        </a:p>
      </xdr:txBody>
    </xdr:sp>
    <xdr:clientData/>
  </xdr:twoCellAnchor>
  <xdr:twoCellAnchor>
    <xdr:from>
      <xdr:col>19</xdr:col>
      <xdr:colOff>9525</xdr:colOff>
      <xdr:row>44</xdr:row>
      <xdr:rowOff>2722</xdr:rowOff>
    </xdr:from>
    <xdr:to>
      <xdr:col>23</xdr:col>
      <xdr:colOff>828675</xdr:colOff>
      <xdr:row>51</xdr:row>
      <xdr:rowOff>136072</xdr:rowOff>
    </xdr:to>
    <xdr:sp macro="" textlink="">
      <xdr:nvSpPr>
        <xdr:cNvPr id="7174" name="Text Box 6"/>
        <xdr:cNvSpPr txBox="1">
          <a:spLocks noChangeArrowheads="1"/>
        </xdr:cNvSpPr>
      </xdr:nvSpPr>
      <xdr:spPr bwMode="auto">
        <a:xfrm>
          <a:off x="14801850" y="6324600"/>
          <a:ext cx="4171950" cy="12668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calculate polynomial regression 4th order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A4x^4+A3*x^3+A2*x^2+A1*x+A0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AJ296"/>
  <sheetViews>
    <sheetView tabSelected="1" zoomScale="85" zoomScaleNormal="85" workbookViewId="0">
      <selection activeCell="G4" sqref="G4:G34"/>
    </sheetView>
  </sheetViews>
  <sheetFormatPr defaultRowHeight="12.75" x14ac:dyDescent="0.2"/>
  <cols>
    <col min="1" max="1" width="0.85546875" customWidth="1"/>
    <col min="2" max="2" width="10.85546875" customWidth="1"/>
    <col min="3" max="3" width="8.28515625" customWidth="1"/>
    <col min="4" max="4" width="11" customWidth="1"/>
    <col min="6" max="6" width="10.7109375" customWidth="1"/>
    <col min="7" max="7" width="9.7109375" bestFit="1" customWidth="1"/>
    <col min="8" max="8" width="1.140625" customWidth="1"/>
    <col min="20" max="20" width="9.28515625" customWidth="1"/>
    <col min="21" max="21" width="4.140625" customWidth="1"/>
    <col min="22" max="22" width="3.85546875" customWidth="1"/>
    <col min="27" max="28" width="9.42578125" bestFit="1" customWidth="1"/>
    <col min="31" max="31" width="9.5703125" bestFit="1" customWidth="1"/>
    <col min="34" max="34" width="9.28515625" bestFit="1" customWidth="1"/>
  </cols>
  <sheetData>
    <row r="1" spans="2:36" ht="15" customHeight="1" thickBot="1" x14ac:dyDescent="0.25">
      <c r="B1" s="33" t="s">
        <v>157</v>
      </c>
      <c r="L1" s="59" t="s">
        <v>156</v>
      </c>
      <c r="AA1" s="20"/>
      <c r="AB1" s="20"/>
      <c r="AC1" s="20"/>
      <c r="AD1" s="20"/>
      <c r="AE1" s="20"/>
      <c r="AF1" s="20"/>
      <c r="AG1" s="20"/>
      <c r="AH1" s="20"/>
      <c r="AI1" s="20"/>
      <c r="AJ1" s="20"/>
    </row>
    <row r="2" spans="2:36" x14ac:dyDescent="0.2">
      <c r="B2" s="16" t="s">
        <v>78</v>
      </c>
      <c r="C2" s="17"/>
      <c r="D2" s="17"/>
      <c r="E2" s="17"/>
      <c r="F2" s="24" t="s">
        <v>79</v>
      </c>
      <c r="G2" s="18"/>
      <c r="AA2" s="20"/>
      <c r="AB2" s="20"/>
      <c r="AC2" s="20"/>
      <c r="AD2" s="20"/>
      <c r="AE2" s="20"/>
      <c r="AF2" s="20"/>
      <c r="AG2" s="20"/>
      <c r="AH2" s="26"/>
      <c r="AI2" s="20"/>
      <c r="AJ2" s="20"/>
    </row>
    <row r="3" spans="2:36" x14ac:dyDescent="0.2">
      <c r="B3" s="19" t="s">
        <v>74</v>
      </c>
      <c r="C3" s="20"/>
      <c r="D3" s="80">
        <v>-40</v>
      </c>
      <c r="E3" s="20"/>
      <c r="F3" s="20" t="s">
        <v>56</v>
      </c>
      <c r="G3" s="21" t="s">
        <v>57</v>
      </c>
      <c r="AA3" s="20"/>
      <c r="AB3" s="20"/>
      <c r="AC3" s="20"/>
      <c r="AD3" s="20"/>
      <c r="AE3" s="20"/>
      <c r="AF3" s="20"/>
      <c r="AG3" s="20"/>
      <c r="AH3" s="26"/>
      <c r="AI3" s="20"/>
      <c r="AJ3" s="20"/>
    </row>
    <row r="4" spans="2:36" x14ac:dyDescent="0.2">
      <c r="B4" s="19" t="s">
        <v>75</v>
      </c>
      <c r="C4" s="20"/>
      <c r="D4" s="81">
        <v>110</v>
      </c>
      <c r="E4" s="20"/>
      <c r="F4" s="82">
        <v>-40</v>
      </c>
      <c r="G4" s="28">
        <v>188500</v>
      </c>
      <c r="AA4" s="20"/>
      <c r="AB4" s="20"/>
      <c r="AC4" s="20"/>
      <c r="AD4" s="20"/>
      <c r="AE4" s="20"/>
      <c r="AF4" s="20"/>
      <c r="AG4" s="20"/>
      <c r="AH4" s="26"/>
      <c r="AI4" s="20"/>
      <c r="AJ4" s="20"/>
    </row>
    <row r="5" spans="2:36" x14ac:dyDescent="0.2">
      <c r="B5" s="19"/>
      <c r="C5" s="20"/>
      <c r="D5" s="20"/>
      <c r="E5" s="20"/>
      <c r="F5" s="82">
        <v>-35</v>
      </c>
      <c r="G5" s="28">
        <v>144100</v>
      </c>
      <c r="AA5" s="20"/>
      <c r="AB5" s="20"/>
      <c r="AC5" s="20"/>
      <c r="AD5" s="20"/>
      <c r="AE5" s="20"/>
      <c r="AF5" s="20"/>
      <c r="AG5" s="20"/>
      <c r="AH5" s="26"/>
      <c r="AI5" s="20"/>
      <c r="AJ5" s="20"/>
    </row>
    <row r="6" spans="2:36" x14ac:dyDescent="0.2">
      <c r="B6" s="25" t="s">
        <v>72</v>
      </c>
      <c r="C6" s="20"/>
      <c r="D6" s="20"/>
      <c r="E6" s="20"/>
      <c r="F6" s="82">
        <v>-30</v>
      </c>
      <c r="G6" s="28">
        <v>111300</v>
      </c>
      <c r="AA6" s="20"/>
      <c r="AB6" s="20"/>
      <c r="AC6" s="20"/>
      <c r="AD6" s="20"/>
      <c r="AE6" s="20"/>
      <c r="AF6" s="20"/>
      <c r="AG6" s="20"/>
      <c r="AH6" s="26"/>
      <c r="AI6" s="20"/>
      <c r="AJ6" s="20"/>
    </row>
    <row r="7" spans="2:36" x14ac:dyDescent="0.2">
      <c r="B7" s="19" t="s">
        <v>0</v>
      </c>
      <c r="C7" s="20"/>
      <c r="D7" s="83">
        <v>0.01</v>
      </c>
      <c r="E7" s="20"/>
      <c r="F7" s="82">
        <v>-25</v>
      </c>
      <c r="G7" s="28">
        <v>86430</v>
      </c>
      <c r="AA7" s="20"/>
      <c r="AB7" s="20"/>
      <c r="AC7" s="20"/>
      <c r="AD7" s="20"/>
      <c r="AE7" s="20"/>
      <c r="AF7" s="20"/>
      <c r="AG7" s="20"/>
      <c r="AH7" s="26"/>
      <c r="AI7" s="20"/>
      <c r="AJ7" s="20"/>
    </row>
    <row r="8" spans="2:36" x14ac:dyDescent="0.2">
      <c r="B8" s="19"/>
      <c r="C8" s="20"/>
      <c r="D8" s="20"/>
      <c r="E8" s="20"/>
      <c r="F8" s="82">
        <v>-20</v>
      </c>
      <c r="G8" s="28">
        <v>67770</v>
      </c>
      <c r="AA8" s="20"/>
      <c r="AB8" s="20"/>
      <c r="AC8" s="20"/>
      <c r="AD8" s="20"/>
      <c r="AE8" s="20"/>
      <c r="AF8" s="20"/>
      <c r="AG8" s="20"/>
      <c r="AH8" s="26"/>
      <c r="AI8" s="20"/>
      <c r="AJ8" s="20"/>
    </row>
    <row r="9" spans="2:36" x14ac:dyDescent="0.2">
      <c r="B9" s="19" t="s">
        <v>1</v>
      </c>
      <c r="C9" s="20"/>
      <c r="D9" s="83">
        <v>0.01</v>
      </c>
      <c r="E9" s="20"/>
      <c r="F9" s="82">
        <v>-15</v>
      </c>
      <c r="G9" s="28">
        <v>53410</v>
      </c>
      <c r="AA9" s="20"/>
      <c r="AB9" s="20"/>
      <c r="AC9" s="20"/>
      <c r="AD9" s="20"/>
      <c r="AE9" s="20"/>
      <c r="AF9" s="20"/>
      <c r="AG9" s="20"/>
      <c r="AH9" s="26"/>
      <c r="AI9" s="20"/>
      <c r="AJ9" s="20"/>
    </row>
    <row r="10" spans="2:36" x14ac:dyDescent="0.2">
      <c r="B10" s="19"/>
      <c r="C10" s="20"/>
      <c r="D10" s="20"/>
      <c r="E10" s="20"/>
      <c r="F10" s="82">
        <v>-10</v>
      </c>
      <c r="G10" s="28">
        <v>42470</v>
      </c>
      <c r="AA10" s="20"/>
      <c r="AB10" s="20"/>
      <c r="AC10" s="20"/>
      <c r="AD10" s="20"/>
      <c r="AE10" s="20"/>
      <c r="AF10" s="20"/>
      <c r="AG10" s="20"/>
      <c r="AH10" s="26"/>
      <c r="AI10" s="20"/>
      <c r="AJ10" s="20"/>
    </row>
    <row r="11" spans="2:36" x14ac:dyDescent="0.2">
      <c r="B11" s="25" t="s">
        <v>71</v>
      </c>
      <c r="C11" s="20"/>
      <c r="D11" s="20"/>
      <c r="E11" s="20"/>
      <c r="F11" s="82">
        <v>-5</v>
      </c>
      <c r="G11" s="28">
        <v>33900</v>
      </c>
      <c r="AA11" s="20"/>
      <c r="AB11" s="20"/>
      <c r="AC11" s="20"/>
      <c r="AD11" s="20"/>
      <c r="AE11" s="20"/>
      <c r="AF11" s="20"/>
      <c r="AG11" s="20"/>
      <c r="AH11" s="26"/>
      <c r="AI11" s="20"/>
      <c r="AJ11" s="20"/>
    </row>
    <row r="12" spans="2:36" x14ac:dyDescent="0.2">
      <c r="B12" s="19" t="s">
        <v>30</v>
      </c>
      <c r="C12" s="20"/>
      <c r="D12" s="84">
        <v>18000</v>
      </c>
      <c r="E12" s="20"/>
      <c r="F12" s="82">
        <v>0</v>
      </c>
      <c r="G12" s="28">
        <v>27280</v>
      </c>
      <c r="AA12" s="20"/>
      <c r="AB12" s="20"/>
      <c r="AC12" s="20"/>
      <c r="AD12" s="20"/>
      <c r="AE12" s="20"/>
      <c r="AF12" s="20"/>
      <c r="AG12" s="20"/>
      <c r="AH12" s="20"/>
      <c r="AI12" s="20"/>
      <c r="AJ12" s="20"/>
    </row>
    <row r="13" spans="2:36" x14ac:dyDescent="0.2">
      <c r="B13" s="19"/>
      <c r="C13" s="20"/>
      <c r="D13" s="20"/>
      <c r="E13" s="20"/>
      <c r="F13" s="82">
        <v>5</v>
      </c>
      <c r="G13" s="28">
        <v>22050</v>
      </c>
      <c r="Z13" s="20"/>
      <c r="AA13" s="20"/>
      <c r="AB13" s="20"/>
      <c r="AC13" s="20"/>
      <c r="AD13" s="20"/>
    </row>
    <row r="14" spans="2:36" x14ac:dyDescent="0.2">
      <c r="B14" s="19" t="s">
        <v>0</v>
      </c>
      <c r="C14" s="20"/>
      <c r="D14" s="85">
        <v>0.01</v>
      </c>
      <c r="E14" s="20"/>
      <c r="F14" s="82">
        <v>10</v>
      </c>
      <c r="G14" s="28">
        <v>17960</v>
      </c>
      <c r="Z14" s="20"/>
      <c r="AA14" s="20"/>
      <c r="AB14" s="20"/>
      <c r="AC14" s="20"/>
      <c r="AD14" s="20"/>
    </row>
    <row r="15" spans="2:36" x14ac:dyDescent="0.2">
      <c r="B15" s="19"/>
      <c r="C15" s="20"/>
      <c r="D15" s="20"/>
      <c r="E15" s="20"/>
      <c r="F15" s="82">
        <v>15</v>
      </c>
      <c r="G15" s="28">
        <v>14690</v>
      </c>
      <c r="Z15" s="20"/>
      <c r="AA15" s="20"/>
      <c r="AB15" s="20"/>
      <c r="AC15" s="20"/>
      <c r="AD15" s="20"/>
    </row>
    <row r="16" spans="2:36" x14ac:dyDescent="0.2">
      <c r="B16" s="19" t="s">
        <v>3</v>
      </c>
      <c r="C16" s="20"/>
      <c r="D16" s="85">
        <v>0</v>
      </c>
      <c r="E16" s="20"/>
      <c r="F16" s="82">
        <v>20</v>
      </c>
      <c r="G16" s="28">
        <v>12090</v>
      </c>
      <c r="Z16" s="20"/>
      <c r="AA16" s="20"/>
      <c r="AB16" s="20"/>
      <c r="AC16" s="20"/>
      <c r="AD16" s="20"/>
    </row>
    <row r="17" spans="2:36" x14ac:dyDescent="0.2">
      <c r="B17" s="19"/>
      <c r="C17" s="20"/>
      <c r="D17" s="20"/>
      <c r="E17" s="20"/>
      <c r="F17" s="82">
        <v>25</v>
      </c>
      <c r="G17" s="28">
        <v>10000</v>
      </c>
      <c r="Z17" s="20"/>
      <c r="AA17" s="20"/>
      <c r="AB17" s="20"/>
      <c r="AC17" s="20"/>
      <c r="AD17" s="20"/>
    </row>
    <row r="18" spans="2:36" x14ac:dyDescent="0.2">
      <c r="B18" s="25" t="s">
        <v>73</v>
      </c>
      <c r="C18" s="20"/>
      <c r="D18" s="20"/>
      <c r="E18" s="20"/>
      <c r="F18" s="82">
        <v>30</v>
      </c>
      <c r="G18" s="28">
        <v>8313</v>
      </c>
      <c r="Z18" s="20"/>
      <c r="AA18" s="20"/>
      <c r="AB18" s="20"/>
      <c r="AC18" s="20"/>
      <c r="AD18" s="20"/>
    </row>
    <row r="19" spans="2:36" x14ac:dyDescent="0.2">
      <c r="B19" s="19" t="s">
        <v>30</v>
      </c>
      <c r="C19" s="20"/>
      <c r="D19" s="86">
        <v>0</v>
      </c>
      <c r="E19" s="20"/>
      <c r="F19" s="82">
        <v>35</v>
      </c>
      <c r="G19" s="28">
        <v>6940</v>
      </c>
      <c r="Z19" s="20"/>
      <c r="AA19" s="20"/>
      <c r="AB19" s="20"/>
      <c r="AC19" s="20"/>
      <c r="AD19" s="20"/>
    </row>
    <row r="20" spans="2:36" x14ac:dyDescent="0.2">
      <c r="B20" s="19"/>
      <c r="C20" s="20"/>
      <c r="D20" s="20"/>
      <c r="E20" s="20"/>
      <c r="F20" s="82">
        <v>40</v>
      </c>
      <c r="G20" s="28">
        <v>5827</v>
      </c>
      <c r="Z20" s="20"/>
      <c r="AA20" s="20"/>
      <c r="AB20" s="20"/>
      <c r="AC20" s="20"/>
      <c r="AD20" s="20"/>
    </row>
    <row r="21" spans="2:36" x14ac:dyDescent="0.2">
      <c r="B21" s="19" t="s">
        <v>0</v>
      </c>
      <c r="C21" s="20"/>
      <c r="D21" s="85">
        <v>0.01</v>
      </c>
      <c r="E21" s="20"/>
      <c r="F21" s="82">
        <v>45</v>
      </c>
      <c r="G21" s="28">
        <v>4911</v>
      </c>
      <c r="Z21" s="20"/>
      <c r="AA21" s="20"/>
      <c r="AB21" s="20"/>
      <c r="AC21" s="20"/>
      <c r="AD21" s="20"/>
    </row>
    <row r="22" spans="2:36" x14ac:dyDescent="0.2">
      <c r="B22" s="19"/>
      <c r="C22" s="20"/>
      <c r="D22" s="29"/>
      <c r="E22" s="20"/>
      <c r="F22" s="82">
        <v>50</v>
      </c>
      <c r="G22" s="28">
        <v>4160</v>
      </c>
      <c r="Z22" s="20"/>
      <c r="AA22" s="20"/>
      <c r="AB22" s="20"/>
      <c r="AC22" s="20"/>
      <c r="AD22" s="20"/>
    </row>
    <row r="23" spans="2:36" x14ac:dyDescent="0.2">
      <c r="B23" s="19" t="s">
        <v>3</v>
      </c>
      <c r="C23" s="20"/>
      <c r="D23" s="85">
        <v>2E-3</v>
      </c>
      <c r="E23" s="20"/>
      <c r="F23" s="82">
        <v>55</v>
      </c>
      <c r="G23" s="28">
        <v>3536</v>
      </c>
      <c r="Z23" s="20"/>
      <c r="AA23" s="20"/>
      <c r="AB23" s="20"/>
      <c r="AC23" s="20"/>
      <c r="AD23" s="20"/>
    </row>
    <row r="24" spans="2:36" x14ac:dyDescent="0.2">
      <c r="B24" s="19"/>
      <c r="C24" s="20"/>
      <c r="D24" s="20"/>
      <c r="E24" s="20"/>
      <c r="F24" s="82">
        <v>60</v>
      </c>
      <c r="G24" s="28">
        <v>3020</v>
      </c>
      <c r="Z24" s="20"/>
      <c r="AA24" s="20"/>
      <c r="AB24" s="20"/>
      <c r="AC24" s="20"/>
      <c r="AD24" s="20"/>
    </row>
    <row r="25" spans="2:36" x14ac:dyDescent="0.2">
      <c r="B25" s="25" t="s">
        <v>54</v>
      </c>
      <c r="C25" s="20"/>
      <c r="D25" s="20"/>
      <c r="E25" s="20"/>
      <c r="F25" s="82">
        <v>65</v>
      </c>
      <c r="G25" s="28">
        <v>2588</v>
      </c>
      <c r="Z25" s="20"/>
      <c r="AA25" s="20"/>
      <c r="AB25" s="20"/>
      <c r="AC25" s="20"/>
      <c r="AD25" s="20"/>
    </row>
    <row r="26" spans="2:36" x14ac:dyDescent="0.2">
      <c r="B26" s="19" t="s">
        <v>55</v>
      </c>
      <c r="C26" s="20"/>
      <c r="D26" s="80">
        <v>25</v>
      </c>
      <c r="E26" s="20"/>
      <c r="F26" s="82">
        <v>70</v>
      </c>
      <c r="G26" s="28">
        <v>2228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</row>
    <row r="27" spans="2:36" x14ac:dyDescent="0.2">
      <c r="B27" s="19"/>
      <c r="C27" s="20"/>
      <c r="D27" s="20"/>
      <c r="E27" s="20"/>
      <c r="F27" s="82">
        <v>75</v>
      </c>
      <c r="G27" s="28">
        <v>1924</v>
      </c>
      <c r="AA27" s="20"/>
      <c r="AB27" s="20"/>
      <c r="AC27" s="20"/>
      <c r="AD27" s="20"/>
      <c r="AE27" s="20"/>
      <c r="AF27" s="20"/>
      <c r="AG27" s="20"/>
      <c r="AH27" s="20"/>
      <c r="AI27" s="20"/>
      <c r="AJ27" s="20"/>
    </row>
    <row r="28" spans="2:36" x14ac:dyDescent="0.2">
      <c r="B28" s="19"/>
      <c r="C28" s="20"/>
      <c r="D28" s="20"/>
      <c r="E28" s="20"/>
      <c r="F28" s="82">
        <v>80</v>
      </c>
      <c r="G28" s="28">
        <v>1668</v>
      </c>
      <c r="AA28" s="20"/>
      <c r="AB28" s="20"/>
      <c r="AC28" s="20"/>
      <c r="AD28" s="20"/>
      <c r="AE28" s="20"/>
      <c r="AF28" s="20"/>
      <c r="AG28" s="20"/>
      <c r="AH28" s="20"/>
      <c r="AI28" s="20"/>
      <c r="AJ28" s="20"/>
    </row>
    <row r="29" spans="2:36" ht="13.5" thickBot="1" x14ac:dyDescent="0.25">
      <c r="B29" s="25" t="s">
        <v>110</v>
      </c>
      <c r="C29" s="43"/>
      <c r="D29" s="43" t="s">
        <v>109</v>
      </c>
      <c r="E29" s="20"/>
      <c r="F29" s="82">
        <v>85</v>
      </c>
      <c r="G29" s="28">
        <v>1451</v>
      </c>
      <c r="AA29" s="20"/>
      <c r="AB29" s="20"/>
      <c r="AC29" s="20"/>
      <c r="AD29" s="20"/>
      <c r="AE29" s="20"/>
      <c r="AF29" s="20"/>
      <c r="AG29" s="20"/>
      <c r="AH29" s="20"/>
      <c r="AI29" s="20"/>
      <c r="AJ29" s="20"/>
    </row>
    <row r="30" spans="2:36" x14ac:dyDescent="0.2">
      <c r="B30" s="48" t="s">
        <v>129</v>
      </c>
      <c r="C30" s="49">
        <f ca="1">Digital!R42</f>
        <v>-16011</v>
      </c>
      <c r="D30" s="50" t="s">
        <v>134</v>
      </c>
      <c r="E30" s="51">
        <f ca="1">Digital!Z43</f>
        <v>42</v>
      </c>
      <c r="F30" s="47">
        <v>90</v>
      </c>
      <c r="G30" s="28">
        <v>1266</v>
      </c>
      <c r="AA30" s="20"/>
      <c r="AB30" s="20"/>
      <c r="AC30" s="20"/>
      <c r="AD30" s="20"/>
      <c r="AE30" s="20"/>
      <c r="AF30" s="20"/>
      <c r="AG30" s="20"/>
      <c r="AH30" s="20"/>
      <c r="AI30" s="20"/>
      <c r="AJ30" s="20"/>
    </row>
    <row r="31" spans="2:36" x14ac:dyDescent="0.2">
      <c r="B31" s="46" t="s">
        <v>130</v>
      </c>
      <c r="C31" s="87">
        <f ca="1">Digital!R43</f>
        <v>27432</v>
      </c>
      <c r="D31" s="88" t="s">
        <v>135</v>
      </c>
      <c r="E31" s="52">
        <f ca="1">Digital!Z44</f>
        <v>-78</v>
      </c>
      <c r="F31" s="47">
        <v>95</v>
      </c>
      <c r="G31" s="28">
        <v>1108</v>
      </c>
      <c r="AA31" s="20"/>
      <c r="AB31" s="20"/>
      <c r="AC31" s="20"/>
      <c r="AD31" s="20"/>
      <c r="AE31" s="20"/>
      <c r="AF31" s="20"/>
      <c r="AG31" s="20"/>
      <c r="AH31" s="20"/>
      <c r="AI31" s="20"/>
      <c r="AJ31" s="20"/>
    </row>
    <row r="32" spans="2:36" x14ac:dyDescent="0.2">
      <c r="B32" s="46" t="s">
        <v>131</v>
      </c>
      <c r="C32" s="87">
        <f ca="1">Digital!R44</f>
        <v>-23370</v>
      </c>
      <c r="D32" s="79" t="s">
        <v>136</v>
      </c>
      <c r="E32" s="52">
        <f ca="1">Digital!Z45</f>
        <v>-3014</v>
      </c>
      <c r="F32" s="47">
        <v>100</v>
      </c>
      <c r="G32" s="28">
        <v>973.1</v>
      </c>
      <c r="AA32" s="20"/>
      <c r="AB32" s="20"/>
      <c r="AC32" s="20"/>
      <c r="AD32" s="20"/>
      <c r="AE32" s="20"/>
      <c r="AF32" s="20"/>
      <c r="AG32" s="20"/>
      <c r="AH32" s="20"/>
      <c r="AI32" s="20"/>
      <c r="AJ32" s="20"/>
    </row>
    <row r="33" spans="1:36" x14ac:dyDescent="0.2">
      <c r="B33" s="46" t="s">
        <v>132</v>
      </c>
      <c r="C33" s="87">
        <f ca="1">Digital!R45</f>
        <v>29022</v>
      </c>
      <c r="D33" s="79" t="s">
        <v>137</v>
      </c>
      <c r="E33" s="52">
        <f ca="1">Digital!Z46</f>
        <v>4955</v>
      </c>
      <c r="F33" s="47">
        <v>105</v>
      </c>
      <c r="G33" s="28">
        <v>857.2</v>
      </c>
      <c r="J33" t="s">
        <v>29</v>
      </c>
      <c r="AA33" s="20"/>
      <c r="AB33" s="20"/>
      <c r="AC33" s="20"/>
      <c r="AD33" s="20"/>
      <c r="AE33" s="20"/>
      <c r="AF33" s="20"/>
      <c r="AG33" s="20"/>
      <c r="AH33" s="20"/>
      <c r="AI33" s="20"/>
      <c r="AJ33" s="20"/>
    </row>
    <row r="34" spans="1:36" ht="13.5" customHeight="1" thickBot="1" x14ac:dyDescent="0.25">
      <c r="B34" s="53" t="s">
        <v>133</v>
      </c>
      <c r="C34" s="54">
        <f ca="1">Digital!R46</f>
        <v>658</v>
      </c>
      <c r="D34" s="55"/>
      <c r="E34" s="56"/>
      <c r="F34" s="47">
        <v>110</v>
      </c>
      <c r="G34" s="28">
        <v>757.6</v>
      </c>
      <c r="I34" s="91" t="s">
        <v>158</v>
      </c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B35" s="19"/>
      <c r="C35" s="8"/>
      <c r="D35" s="20"/>
      <c r="E35" s="20"/>
      <c r="F35" s="79">
        <v>115</v>
      </c>
      <c r="G35" s="89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  <row r="36" spans="1:36" x14ac:dyDescent="0.2">
      <c r="B36" s="19"/>
      <c r="C36" s="8"/>
      <c r="D36" s="20"/>
      <c r="E36" s="20"/>
      <c r="F36" s="8"/>
      <c r="G36" s="90"/>
      <c r="AA36" s="20"/>
      <c r="AB36" s="20"/>
      <c r="AC36" s="20"/>
      <c r="AD36" s="20"/>
      <c r="AE36" s="20"/>
      <c r="AF36" s="20"/>
      <c r="AG36" s="20"/>
      <c r="AH36" s="20"/>
      <c r="AI36" s="20"/>
      <c r="AJ36" s="20"/>
    </row>
    <row r="37" spans="1:36" x14ac:dyDescent="0.2">
      <c r="B37" s="19"/>
      <c r="C37" s="8"/>
      <c r="D37" s="20"/>
      <c r="E37" s="20"/>
      <c r="F37" s="8"/>
      <c r="G37" s="90"/>
      <c r="AA37" s="20"/>
      <c r="AB37" s="20"/>
      <c r="AC37" s="20"/>
      <c r="AD37" s="20"/>
      <c r="AE37" s="20"/>
      <c r="AF37" s="20"/>
      <c r="AG37" s="20"/>
      <c r="AH37" s="20"/>
      <c r="AI37" s="20"/>
      <c r="AJ37" s="20"/>
    </row>
    <row r="38" spans="1:36" x14ac:dyDescent="0.2">
      <c r="B38" s="19"/>
      <c r="C38" s="8"/>
      <c r="D38" s="20"/>
      <c r="E38" s="20"/>
      <c r="F38" s="8"/>
      <c r="G38" s="90"/>
      <c r="AA38" s="20"/>
      <c r="AB38" s="20"/>
      <c r="AC38" s="20"/>
      <c r="AD38" s="20"/>
      <c r="AE38" s="20"/>
      <c r="AF38" s="20"/>
      <c r="AG38" s="20"/>
      <c r="AH38" s="20"/>
      <c r="AI38" s="20"/>
      <c r="AJ38" s="20"/>
    </row>
    <row r="39" spans="1:36" x14ac:dyDescent="0.2">
      <c r="B39" s="19"/>
      <c r="C39" s="8"/>
      <c r="D39" s="20"/>
      <c r="E39" s="20"/>
      <c r="F39" s="8"/>
      <c r="G39" s="90"/>
      <c r="AA39" s="20"/>
      <c r="AB39" s="20"/>
      <c r="AC39" s="20"/>
      <c r="AD39" s="20"/>
      <c r="AE39" s="20"/>
      <c r="AF39" s="20"/>
      <c r="AG39" s="20"/>
      <c r="AH39" s="20"/>
      <c r="AI39" s="20"/>
      <c r="AJ39" s="20"/>
    </row>
    <row r="40" spans="1:36" ht="13.5" thickBot="1" x14ac:dyDescent="0.25">
      <c r="B40" s="22"/>
      <c r="C40" s="23"/>
      <c r="D40" s="23"/>
      <c r="E40" s="23"/>
      <c r="F40" s="23"/>
      <c r="G40" s="27"/>
      <c r="AA40" s="20"/>
      <c r="AB40" s="20"/>
      <c r="AC40" s="20"/>
      <c r="AD40" s="20"/>
      <c r="AE40" s="20"/>
      <c r="AF40" s="20"/>
      <c r="AG40" s="20"/>
      <c r="AH40" s="20"/>
      <c r="AI40" s="20"/>
      <c r="AJ40" s="20"/>
    </row>
    <row r="41" spans="1:36" ht="15.75" x14ac:dyDescent="0.25">
      <c r="J41" s="57" t="s">
        <v>123</v>
      </c>
      <c r="AA41" s="20"/>
      <c r="AB41" s="20"/>
      <c r="AC41" s="20"/>
      <c r="AD41" s="20"/>
      <c r="AE41" s="20"/>
      <c r="AF41" s="20"/>
      <c r="AG41" s="20"/>
      <c r="AH41" s="20"/>
      <c r="AI41" s="20"/>
      <c r="AJ41" s="20"/>
    </row>
    <row r="42" spans="1:36" ht="15" x14ac:dyDescent="0.2">
      <c r="J42" s="58" t="s">
        <v>155</v>
      </c>
      <c r="AA42" s="20"/>
      <c r="AB42" s="20"/>
      <c r="AC42" s="20"/>
      <c r="AD42" s="20"/>
      <c r="AE42" s="20"/>
      <c r="AF42" s="20"/>
      <c r="AG42" s="20"/>
      <c r="AH42" s="20"/>
      <c r="AI42" s="20"/>
      <c r="AJ42" s="20"/>
    </row>
    <row r="43" spans="1:36" ht="15" x14ac:dyDescent="0.2">
      <c r="A43" s="20"/>
      <c r="B43" s="43"/>
      <c r="C43" s="20"/>
      <c r="D43" s="20"/>
      <c r="E43" s="20"/>
      <c r="J43" s="58" t="s">
        <v>124</v>
      </c>
      <c r="AA43" s="20"/>
      <c r="AB43" s="20"/>
      <c r="AC43" s="20"/>
      <c r="AD43" s="20"/>
      <c r="AE43" s="20"/>
      <c r="AF43" s="20"/>
      <c r="AG43" s="20"/>
      <c r="AH43" s="20"/>
      <c r="AI43" s="20"/>
      <c r="AJ43" s="20"/>
    </row>
    <row r="44" spans="1:36" ht="15" x14ac:dyDescent="0.2">
      <c r="A44" s="20"/>
      <c r="B44" s="20"/>
      <c r="C44" s="20"/>
      <c r="D44" s="20"/>
      <c r="E44" s="20"/>
      <c r="J44" s="58" t="s">
        <v>125</v>
      </c>
      <c r="AA44" s="20"/>
      <c r="AB44" s="20"/>
      <c r="AC44" s="20"/>
      <c r="AD44" s="20"/>
      <c r="AE44" s="20"/>
      <c r="AF44" s="20"/>
      <c r="AG44" s="20"/>
      <c r="AH44" s="20"/>
      <c r="AI44" s="20"/>
      <c r="AJ44" s="20"/>
    </row>
    <row r="45" spans="1:36" ht="15" x14ac:dyDescent="0.2">
      <c r="A45" s="20"/>
      <c r="B45" s="43"/>
      <c r="C45" s="20"/>
      <c r="D45" s="20"/>
      <c r="E45" s="20"/>
      <c r="J45" s="58" t="s">
        <v>126</v>
      </c>
      <c r="AA45" s="20"/>
      <c r="AB45" s="20"/>
      <c r="AC45" s="20"/>
      <c r="AD45" s="20"/>
      <c r="AE45" s="20"/>
      <c r="AF45" s="20"/>
      <c r="AG45" s="20"/>
      <c r="AH45" s="20"/>
      <c r="AI45" s="20"/>
      <c r="AJ45" s="20"/>
    </row>
    <row r="46" spans="1:36" ht="15" x14ac:dyDescent="0.2">
      <c r="A46" s="20"/>
      <c r="B46" s="20"/>
      <c r="C46" s="20"/>
      <c r="D46" s="20"/>
      <c r="E46" s="20"/>
      <c r="J46" s="58" t="s">
        <v>127</v>
      </c>
      <c r="AA46" s="20"/>
      <c r="AB46" s="20"/>
      <c r="AC46" s="20"/>
      <c r="AD46" s="20"/>
      <c r="AE46" s="20"/>
      <c r="AF46" s="20"/>
      <c r="AG46" s="20"/>
      <c r="AH46" s="20"/>
      <c r="AI46" s="20"/>
      <c r="AJ46" s="20"/>
    </row>
    <row r="47" spans="1:36" ht="15" x14ac:dyDescent="0.2">
      <c r="A47" s="20"/>
      <c r="B47" s="44"/>
      <c r="C47" s="44"/>
      <c r="D47" s="8"/>
      <c r="E47" s="20"/>
      <c r="J47" s="58" t="s">
        <v>128</v>
      </c>
      <c r="AA47" s="20"/>
      <c r="AB47" s="20"/>
      <c r="AC47" s="20"/>
      <c r="AD47" s="20"/>
      <c r="AE47" s="20"/>
      <c r="AF47" s="20"/>
      <c r="AG47" s="20"/>
      <c r="AH47" s="20"/>
      <c r="AI47" s="20"/>
      <c r="AJ47" s="20"/>
    </row>
    <row r="48" spans="1:36" x14ac:dyDescent="0.2">
      <c r="A48" s="20"/>
      <c r="B48" s="44"/>
      <c r="C48" s="44"/>
      <c r="D48" s="8"/>
      <c r="E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</row>
    <row r="49" spans="1:36" x14ac:dyDescent="0.2">
      <c r="A49" s="20"/>
      <c r="B49" s="44"/>
      <c r="C49" s="44"/>
      <c r="D49" s="8"/>
      <c r="E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</row>
    <row r="50" spans="1:36" x14ac:dyDescent="0.2">
      <c r="A50" s="20"/>
      <c r="B50" s="44"/>
      <c r="C50" s="44"/>
      <c r="D50" s="8"/>
      <c r="E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</row>
    <row r="51" spans="1:36" x14ac:dyDescent="0.2">
      <c r="A51" s="20"/>
      <c r="B51" s="44"/>
      <c r="C51" s="44"/>
      <c r="D51" s="8"/>
      <c r="E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</row>
    <row r="52" spans="1:36" x14ac:dyDescent="0.2">
      <c r="A52" s="20"/>
      <c r="B52" s="44"/>
      <c r="C52" s="44"/>
      <c r="D52" s="8"/>
      <c r="E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</row>
    <row r="53" spans="1:36" x14ac:dyDescent="0.2">
      <c r="A53" s="20"/>
      <c r="B53" s="44"/>
      <c r="C53" s="44"/>
      <c r="D53" s="34"/>
      <c r="E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</row>
    <row r="54" spans="1:36" x14ac:dyDescent="0.2">
      <c r="A54" s="20"/>
      <c r="B54" s="20"/>
      <c r="C54" s="20"/>
      <c r="D54" s="20"/>
      <c r="E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</row>
    <row r="55" spans="1:36" x14ac:dyDescent="0.2">
      <c r="AA55" s="20"/>
      <c r="AB55" s="20"/>
      <c r="AC55" s="20"/>
      <c r="AD55" s="20"/>
      <c r="AE55" s="20"/>
      <c r="AF55" s="20"/>
      <c r="AG55" s="20"/>
      <c r="AH55" s="20"/>
      <c r="AI55" s="20"/>
      <c r="AJ55" s="20"/>
    </row>
    <row r="56" spans="1:36" x14ac:dyDescent="0.2">
      <c r="AA56" s="20"/>
      <c r="AB56" s="20"/>
      <c r="AC56" s="20"/>
      <c r="AD56" s="20"/>
      <c r="AE56" s="20"/>
      <c r="AF56" s="20"/>
      <c r="AG56" s="20"/>
      <c r="AH56" s="20"/>
      <c r="AI56" s="20"/>
      <c r="AJ56" s="20"/>
    </row>
    <row r="57" spans="1:36" x14ac:dyDescent="0.2">
      <c r="AA57" s="20"/>
      <c r="AB57" s="20"/>
      <c r="AC57" s="20"/>
      <c r="AD57" s="20"/>
      <c r="AE57" s="20"/>
      <c r="AF57" s="20"/>
      <c r="AG57" s="20"/>
      <c r="AH57" s="20"/>
      <c r="AI57" s="20"/>
      <c r="AJ57" s="20"/>
    </row>
    <row r="58" spans="1:36" x14ac:dyDescent="0.2">
      <c r="AA58" s="20"/>
      <c r="AB58" s="20"/>
      <c r="AC58" s="20"/>
      <c r="AD58" s="20"/>
      <c r="AE58" s="20"/>
      <c r="AF58" s="20"/>
      <c r="AG58" s="20"/>
      <c r="AH58" s="20"/>
      <c r="AI58" s="20"/>
      <c r="AJ58" s="20"/>
    </row>
    <row r="59" spans="1:36" x14ac:dyDescent="0.2">
      <c r="AA59" s="20"/>
      <c r="AB59" s="20"/>
      <c r="AC59" s="20"/>
      <c r="AD59" s="20"/>
      <c r="AE59" s="20"/>
      <c r="AF59" s="20"/>
      <c r="AG59" s="20"/>
      <c r="AH59" s="20"/>
      <c r="AI59" s="20"/>
      <c r="AJ59" s="20"/>
    </row>
    <row r="60" spans="1:36" x14ac:dyDescent="0.2">
      <c r="AA60" s="20"/>
      <c r="AB60" s="20"/>
      <c r="AC60" s="20"/>
      <c r="AD60" s="20"/>
      <c r="AE60" s="20"/>
      <c r="AF60" s="20"/>
      <c r="AG60" s="20"/>
      <c r="AH60" s="20"/>
      <c r="AI60" s="20"/>
      <c r="AJ60" s="20"/>
    </row>
    <row r="61" spans="1:36" x14ac:dyDescent="0.2">
      <c r="AA61" s="20"/>
      <c r="AB61" s="20"/>
      <c r="AC61" s="20"/>
      <c r="AD61" s="20"/>
      <c r="AE61" s="20"/>
      <c r="AF61" s="20"/>
      <c r="AG61" s="20"/>
      <c r="AH61" s="20"/>
      <c r="AI61" s="20"/>
      <c r="AJ61" s="20"/>
    </row>
    <row r="62" spans="1:36" x14ac:dyDescent="0.2">
      <c r="AA62" s="20"/>
      <c r="AB62" s="20"/>
      <c r="AC62" s="20"/>
      <c r="AD62" s="20"/>
      <c r="AE62" s="20"/>
      <c r="AF62" s="20"/>
      <c r="AG62" s="20"/>
      <c r="AH62" s="20"/>
      <c r="AI62" s="20"/>
      <c r="AJ62" s="20"/>
    </row>
    <row r="63" spans="1:36" x14ac:dyDescent="0.2">
      <c r="AA63" s="20"/>
      <c r="AB63" s="20"/>
      <c r="AC63" s="20"/>
      <c r="AD63" s="20"/>
      <c r="AE63" s="20"/>
      <c r="AF63" s="20"/>
      <c r="AG63" s="20"/>
      <c r="AH63" s="20"/>
      <c r="AI63" s="20"/>
      <c r="AJ63" s="20"/>
    </row>
    <row r="64" spans="1:36" x14ac:dyDescent="0.2">
      <c r="AA64" s="20"/>
      <c r="AB64" s="20"/>
      <c r="AC64" s="20"/>
      <c r="AD64" s="20"/>
      <c r="AE64" s="20"/>
      <c r="AF64" s="20"/>
      <c r="AG64" s="20"/>
      <c r="AH64" s="20"/>
      <c r="AI64" s="20"/>
      <c r="AJ64" s="20"/>
    </row>
    <row r="65" spans="27:36" x14ac:dyDescent="0.2">
      <c r="AA65" s="20"/>
      <c r="AB65" s="20"/>
      <c r="AC65" s="20"/>
      <c r="AD65" s="20"/>
      <c r="AE65" s="20"/>
      <c r="AF65" s="20"/>
      <c r="AG65" s="20"/>
      <c r="AH65" s="20"/>
      <c r="AI65" s="20"/>
      <c r="AJ65" s="20"/>
    </row>
    <row r="66" spans="27:36" x14ac:dyDescent="0.2">
      <c r="AA66" s="20"/>
      <c r="AB66" s="20"/>
      <c r="AC66" s="20"/>
      <c r="AD66" s="20"/>
      <c r="AE66" s="20"/>
      <c r="AF66" s="20"/>
      <c r="AG66" s="20"/>
      <c r="AH66" s="20"/>
      <c r="AI66" s="20"/>
      <c r="AJ66" s="20"/>
    </row>
    <row r="67" spans="27:36" x14ac:dyDescent="0.2">
      <c r="AA67" s="20"/>
      <c r="AB67" s="20"/>
      <c r="AC67" s="20"/>
      <c r="AD67" s="20"/>
      <c r="AE67" s="20"/>
      <c r="AF67" s="20"/>
      <c r="AG67" s="20"/>
      <c r="AH67" s="20"/>
      <c r="AI67" s="20"/>
      <c r="AJ67" s="20"/>
    </row>
    <row r="68" spans="27:36" x14ac:dyDescent="0.2">
      <c r="AA68" s="20"/>
      <c r="AB68" s="20"/>
      <c r="AC68" s="20"/>
      <c r="AD68" s="20"/>
      <c r="AE68" s="20"/>
      <c r="AF68" s="20"/>
      <c r="AG68" s="20"/>
      <c r="AH68" s="20"/>
      <c r="AI68" s="20"/>
      <c r="AJ68" s="20"/>
    </row>
    <row r="69" spans="27:36" x14ac:dyDescent="0.2">
      <c r="AA69" s="20"/>
      <c r="AB69" s="20"/>
      <c r="AC69" s="20"/>
      <c r="AD69" s="20"/>
      <c r="AE69" s="20"/>
      <c r="AF69" s="20"/>
      <c r="AG69" s="20"/>
      <c r="AH69" s="20"/>
      <c r="AI69" s="20"/>
      <c r="AJ69" s="20"/>
    </row>
    <row r="70" spans="27:36" x14ac:dyDescent="0.2">
      <c r="AA70" s="20"/>
      <c r="AB70" s="20"/>
      <c r="AC70" s="20"/>
      <c r="AD70" s="20"/>
      <c r="AE70" s="20"/>
      <c r="AF70" s="20"/>
      <c r="AG70" s="20"/>
      <c r="AH70" s="20"/>
      <c r="AI70" s="20"/>
      <c r="AJ70" s="20"/>
    </row>
    <row r="71" spans="27:36" x14ac:dyDescent="0.2">
      <c r="AA71" s="20"/>
      <c r="AB71" s="20"/>
      <c r="AC71" s="20"/>
      <c r="AD71" s="20"/>
      <c r="AE71" s="20"/>
      <c r="AF71" s="20"/>
      <c r="AG71" s="20"/>
      <c r="AH71" s="20"/>
      <c r="AI71" s="20"/>
      <c r="AJ71" s="20"/>
    </row>
    <row r="72" spans="27:36" x14ac:dyDescent="0.2">
      <c r="AA72" s="20"/>
      <c r="AB72" s="20"/>
      <c r="AC72" s="20"/>
      <c r="AD72" s="20"/>
      <c r="AE72" s="20"/>
      <c r="AF72" s="20"/>
      <c r="AG72" s="20"/>
      <c r="AH72" s="20"/>
      <c r="AI72" s="20"/>
      <c r="AJ72" s="20"/>
    </row>
    <row r="73" spans="27:36" x14ac:dyDescent="0.2">
      <c r="AA73" s="20"/>
      <c r="AB73" s="20"/>
      <c r="AC73" s="20"/>
      <c r="AD73" s="20"/>
      <c r="AE73" s="20"/>
      <c r="AF73" s="20"/>
      <c r="AG73" s="20"/>
      <c r="AH73" s="20"/>
      <c r="AI73" s="20"/>
      <c r="AJ73" s="20"/>
    </row>
    <row r="74" spans="27:36" x14ac:dyDescent="0.2">
      <c r="AA74" s="20"/>
      <c r="AB74" s="20"/>
      <c r="AC74" s="20"/>
      <c r="AD74" s="20"/>
      <c r="AE74" s="20"/>
      <c r="AF74" s="20"/>
      <c r="AG74" s="20"/>
      <c r="AH74" s="20"/>
      <c r="AI74" s="20"/>
      <c r="AJ74" s="20"/>
    </row>
    <row r="75" spans="27:36" x14ac:dyDescent="0.2">
      <c r="AA75" s="20"/>
      <c r="AB75" s="20"/>
      <c r="AC75" s="20"/>
      <c r="AD75" s="20"/>
      <c r="AE75" s="20"/>
      <c r="AF75" s="20"/>
      <c r="AG75" s="20"/>
      <c r="AH75" s="20"/>
      <c r="AI75" s="20"/>
      <c r="AJ75" s="20"/>
    </row>
    <row r="76" spans="27:36" x14ac:dyDescent="0.2">
      <c r="AA76" s="20"/>
      <c r="AB76" s="20"/>
      <c r="AC76" s="20"/>
      <c r="AD76" s="20"/>
      <c r="AE76" s="20"/>
      <c r="AF76" s="20"/>
      <c r="AG76" s="20"/>
      <c r="AH76" s="20"/>
      <c r="AI76" s="20"/>
      <c r="AJ76" s="20"/>
    </row>
    <row r="77" spans="27:36" x14ac:dyDescent="0.2">
      <c r="AA77" s="20"/>
      <c r="AB77" s="20"/>
      <c r="AC77" s="20"/>
      <c r="AD77" s="20"/>
      <c r="AE77" s="20"/>
      <c r="AF77" s="20"/>
      <c r="AG77" s="20"/>
      <c r="AH77" s="20"/>
      <c r="AI77" s="20"/>
      <c r="AJ77" s="20"/>
    </row>
    <row r="78" spans="27:36" x14ac:dyDescent="0.2">
      <c r="AA78" s="20"/>
      <c r="AB78" s="20"/>
      <c r="AC78" s="20"/>
      <c r="AD78" s="20"/>
      <c r="AE78" s="20"/>
      <c r="AF78" s="20"/>
      <c r="AG78" s="20"/>
      <c r="AH78" s="20"/>
      <c r="AI78" s="20"/>
      <c r="AJ78" s="20"/>
    </row>
    <row r="79" spans="27:36" x14ac:dyDescent="0.2">
      <c r="AA79" s="20"/>
      <c r="AB79" s="20"/>
      <c r="AC79" s="20"/>
      <c r="AD79" s="20"/>
      <c r="AE79" s="20"/>
      <c r="AF79" s="20"/>
      <c r="AG79" s="20"/>
      <c r="AH79" s="20"/>
      <c r="AI79" s="20"/>
      <c r="AJ79" s="20"/>
    </row>
    <row r="80" spans="27:36" x14ac:dyDescent="0.2">
      <c r="AA80" s="20"/>
      <c r="AB80" s="20"/>
      <c r="AC80" s="20"/>
      <c r="AD80" s="20"/>
      <c r="AE80" s="20"/>
      <c r="AF80" s="20"/>
      <c r="AG80" s="20"/>
      <c r="AH80" s="20"/>
      <c r="AI80" s="20"/>
      <c r="AJ80" s="20"/>
    </row>
    <row r="81" spans="27:36" x14ac:dyDescent="0.2">
      <c r="AA81" s="20"/>
      <c r="AB81" s="20"/>
      <c r="AC81" s="20"/>
      <c r="AD81" s="20"/>
      <c r="AE81" s="20"/>
      <c r="AF81" s="20"/>
      <c r="AG81" s="20"/>
      <c r="AH81" s="20"/>
      <c r="AI81" s="20"/>
      <c r="AJ81" s="20"/>
    </row>
    <row r="82" spans="27:36" x14ac:dyDescent="0.2">
      <c r="AA82" s="20"/>
      <c r="AB82" s="20"/>
      <c r="AC82" s="20"/>
      <c r="AD82" s="20"/>
      <c r="AE82" s="20"/>
      <c r="AF82" s="20"/>
      <c r="AG82" s="20"/>
      <c r="AH82" s="20"/>
      <c r="AI82" s="20"/>
      <c r="AJ82" s="20"/>
    </row>
    <row r="83" spans="27:36" x14ac:dyDescent="0.2">
      <c r="AA83" s="20"/>
      <c r="AB83" s="20"/>
      <c r="AC83" s="20"/>
      <c r="AD83" s="20"/>
      <c r="AE83" s="20"/>
      <c r="AF83" s="20"/>
      <c r="AG83" s="20"/>
      <c r="AH83" s="20"/>
      <c r="AI83" s="20"/>
      <c r="AJ83" s="20"/>
    </row>
    <row r="84" spans="27:36" x14ac:dyDescent="0.2">
      <c r="AA84" s="20"/>
      <c r="AB84" s="20"/>
      <c r="AC84" s="20"/>
      <c r="AD84" s="20"/>
      <c r="AE84" s="20"/>
      <c r="AF84" s="20"/>
      <c r="AG84" s="20"/>
      <c r="AH84" s="20"/>
      <c r="AI84" s="20"/>
      <c r="AJ84" s="20"/>
    </row>
    <row r="85" spans="27:36" x14ac:dyDescent="0.2">
      <c r="AA85" s="20"/>
      <c r="AB85" s="20"/>
      <c r="AC85" s="20"/>
      <c r="AD85" s="20"/>
      <c r="AE85" s="20"/>
      <c r="AF85" s="20"/>
      <c r="AG85" s="20"/>
      <c r="AH85" s="20"/>
      <c r="AI85" s="20"/>
      <c r="AJ85" s="20"/>
    </row>
    <row r="86" spans="27:36" x14ac:dyDescent="0.2">
      <c r="AA86" s="20"/>
      <c r="AB86" s="20"/>
      <c r="AC86" s="20"/>
      <c r="AD86" s="20"/>
      <c r="AE86" s="20"/>
      <c r="AF86" s="20"/>
      <c r="AG86" s="20"/>
      <c r="AH86" s="20"/>
      <c r="AI86" s="20"/>
      <c r="AJ86" s="20"/>
    </row>
    <row r="87" spans="27:36" x14ac:dyDescent="0.2">
      <c r="AA87" s="20"/>
      <c r="AB87" s="20"/>
      <c r="AC87" s="20"/>
      <c r="AD87" s="20"/>
      <c r="AE87" s="20"/>
      <c r="AF87" s="20"/>
      <c r="AG87" s="20"/>
      <c r="AH87" s="20"/>
      <c r="AI87" s="20"/>
      <c r="AJ87" s="20"/>
    </row>
    <row r="88" spans="27:36" x14ac:dyDescent="0.2">
      <c r="AA88" s="20"/>
      <c r="AB88" s="20"/>
      <c r="AC88" s="20"/>
      <c r="AD88" s="20"/>
      <c r="AE88" s="20"/>
      <c r="AF88" s="20"/>
      <c r="AG88" s="20"/>
      <c r="AH88" s="20"/>
      <c r="AI88" s="20"/>
      <c r="AJ88" s="20"/>
    </row>
    <row r="89" spans="27:36" x14ac:dyDescent="0.2">
      <c r="AA89" s="20"/>
      <c r="AB89" s="20"/>
      <c r="AC89" s="20"/>
      <c r="AD89" s="20"/>
      <c r="AE89" s="20"/>
      <c r="AF89" s="20"/>
      <c r="AG89" s="20"/>
      <c r="AH89" s="20"/>
      <c r="AI89" s="20"/>
      <c r="AJ89" s="20"/>
    </row>
    <row r="90" spans="27:36" x14ac:dyDescent="0.2">
      <c r="AA90" s="20"/>
      <c r="AB90" s="20"/>
      <c r="AC90" s="20"/>
      <c r="AD90" s="20"/>
      <c r="AE90" s="20"/>
      <c r="AF90" s="20"/>
      <c r="AG90" s="20"/>
      <c r="AH90" s="20"/>
      <c r="AI90" s="20"/>
      <c r="AJ90" s="20"/>
    </row>
    <row r="91" spans="27:36" x14ac:dyDescent="0.2">
      <c r="AA91" s="20"/>
      <c r="AB91" s="20"/>
      <c r="AC91" s="20"/>
      <c r="AD91" s="20"/>
      <c r="AE91" s="20"/>
      <c r="AF91" s="20"/>
      <c r="AG91" s="20"/>
      <c r="AH91" s="20"/>
      <c r="AI91" s="20"/>
      <c r="AJ91" s="20"/>
    </row>
    <row r="92" spans="27:36" x14ac:dyDescent="0.2">
      <c r="AA92" s="20"/>
      <c r="AB92" s="20"/>
      <c r="AC92" s="20"/>
      <c r="AD92" s="20"/>
      <c r="AE92" s="20"/>
      <c r="AF92" s="20"/>
      <c r="AG92" s="20"/>
      <c r="AH92" s="20"/>
      <c r="AI92" s="20"/>
      <c r="AJ92" s="20"/>
    </row>
    <row r="93" spans="27:36" x14ac:dyDescent="0.2">
      <c r="AA93" s="20"/>
      <c r="AB93" s="20"/>
      <c r="AC93" s="20"/>
      <c r="AD93" s="20"/>
      <c r="AE93" s="20"/>
      <c r="AF93" s="20"/>
      <c r="AG93" s="20"/>
      <c r="AH93" s="20"/>
      <c r="AI93" s="20"/>
      <c r="AJ93" s="20"/>
    </row>
    <row r="94" spans="27:36" x14ac:dyDescent="0.2">
      <c r="AA94" s="20"/>
      <c r="AB94" s="20"/>
      <c r="AC94" s="20"/>
      <c r="AD94" s="20"/>
      <c r="AE94" s="20"/>
      <c r="AF94" s="20"/>
      <c r="AG94" s="20"/>
      <c r="AH94" s="20"/>
      <c r="AI94" s="20"/>
      <c r="AJ94" s="20"/>
    </row>
    <row r="95" spans="27:36" x14ac:dyDescent="0.2">
      <c r="AA95" s="20"/>
      <c r="AB95" s="20"/>
      <c r="AC95" s="20"/>
      <c r="AD95" s="20"/>
      <c r="AE95" s="20"/>
      <c r="AF95" s="20"/>
      <c r="AG95" s="20"/>
      <c r="AH95" s="20"/>
      <c r="AI95" s="20"/>
      <c r="AJ95" s="20"/>
    </row>
    <row r="96" spans="27:36" x14ac:dyDescent="0.2"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27:36" x14ac:dyDescent="0.2">
      <c r="AA97" s="20"/>
      <c r="AB97" s="20"/>
      <c r="AC97" s="20"/>
      <c r="AD97" s="20"/>
      <c r="AE97" s="20"/>
      <c r="AF97" s="20"/>
      <c r="AG97" s="20"/>
      <c r="AH97" s="20"/>
      <c r="AI97" s="20"/>
      <c r="AJ97" s="20"/>
    </row>
    <row r="98" spans="27:36" x14ac:dyDescent="0.2">
      <c r="AA98" s="20"/>
      <c r="AB98" s="20"/>
      <c r="AC98" s="20"/>
      <c r="AD98" s="20"/>
      <c r="AE98" s="20"/>
      <c r="AF98" s="20"/>
      <c r="AG98" s="20"/>
      <c r="AH98" s="20"/>
      <c r="AI98" s="20"/>
      <c r="AJ98" s="20"/>
    </row>
    <row r="99" spans="27:36" x14ac:dyDescent="0.2">
      <c r="AA99" s="20"/>
      <c r="AB99" s="20"/>
      <c r="AC99" s="20"/>
      <c r="AD99" s="20"/>
      <c r="AE99" s="20"/>
      <c r="AF99" s="20"/>
      <c r="AG99" s="20"/>
      <c r="AH99" s="20"/>
      <c r="AI99" s="20"/>
      <c r="AJ99" s="20"/>
    </row>
    <row r="100" spans="27:36" x14ac:dyDescent="0.2"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</row>
    <row r="101" spans="27:36" x14ac:dyDescent="0.2"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</row>
    <row r="102" spans="27:36" x14ac:dyDescent="0.2"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</row>
    <row r="103" spans="27:36" x14ac:dyDescent="0.2"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</row>
    <row r="104" spans="27:36" x14ac:dyDescent="0.2"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</row>
    <row r="105" spans="27:36" x14ac:dyDescent="0.2"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</row>
    <row r="106" spans="27:36" x14ac:dyDescent="0.2"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</row>
    <row r="107" spans="27:36" x14ac:dyDescent="0.2"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</row>
    <row r="108" spans="27:36" x14ac:dyDescent="0.2"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</row>
    <row r="109" spans="27:36" x14ac:dyDescent="0.2"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</row>
    <row r="110" spans="27:36" x14ac:dyDescent="0.2"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</row>
    <row r="111" spans="27:36" x14ac:dyDescent="0.2"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</row>
    <row r="112" spans="27:36" x14ac:dyDescent="0.2"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</row>
    <row r="113" spans="27:36" x14ac:dyDescent="0.2"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</row>
    <row r="114" spans="27:36" x14ac:dyDescent="0.2"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</row>
    <row r="115" spans="27:36" x14ac:dyDescent="0.2"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</row>
    <row r="116" spans="27:36" x14ac:dyDescent="0.2"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</row>
    <row r="117" spans="27:36" x14ac:dyDescent="0.2"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</row>
    <row r="118" spans="27:36" x14ac:dyDescent="0.2"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</row>
    <row r="119" spans="27:36" x14ac:dyDescent="0.2"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</row>
    <row r="120" spans="27:36" x14ac:dyDescent="0.2"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</row>
    <row r="121" spans="27:36" x14ac:dyDescent="0.2"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</row>
    <row r="122" spans="27:36" x14ac:dyDescent="0.2"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</row>
    <row r="123" spans="27:36" x14ac:dyDescent="0.2"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</row>
    <row r="124" spans="27:36" x14ac:dyDescent="0.2"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</row>
    <row r="125" spans="27:36" x14ac:dyDescent="0.2"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</row>
    <row r="126" spans="27:36" x14ac:dyDescent="0.2"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</row>
    <row r="127" spans="27:36" x14ac:dyDescent="0.2"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</row>
    <row r="128" spans="27:36" x14ac:dyDescent="0.2"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</row>
    <row r="129" spans="27:36" x14ac:dyDescent="0.2"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</row>
    <row r="130" spans="27:36" x14ac:dyDescent="0.2"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</row>
    <row r="131" spans="27:36" x14ac:dyDescent="0.2"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</row>
    <row r="132" spans="27:36" x14ac:dyDescent="0.2"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</row>
    <row r="133" spans="27:36" x14ac:dyDescent="0.2"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</row>
    <row r="134" spans="27:36" x14ac:dyDescent="0.2"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</row>
    <row r="135" spans="27:36" x14ac:dyDescent="0.2"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</row>
    <row r="136" spans="27:36" x14ac:dyDescent="0.2"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</row>
    <row r="137" spans="27:36" x14ac:dyDescent="0.2"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</row>
    <row r="138" spans="27:36" x14ac:dyDescent="0.2"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</row>
    <row r="139" spans="27:36" x14ac:dyDescent="0.2"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</row>
    <row r="140" spans="27:36" x14ac:dyDescent="0.2"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</row>
    <row r="141" spans="27:36" x14ac:dyDescent="0.2"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</row>
    <row r="142" spans="27:36" x14ac:dyDescent="0.2"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</row>
    <row r="143" spans="27:36" x14ac:dyDescent="0.2"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</row>
    <row r="144" spans="27:36" x14ac:dyDescent="0.2"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</row>
    <row r="145" spans="27:36" x14ac:dyDescent="0.2"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</row>
    <row r="146" spans="27:36" x14ac:dyDescent="0.2"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</row>
    <row r="147" spans="27:36" x14ac:dyDescent="0.2"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</row>
    <row r="148" spans="27:36" x14ac:dyDescent="0.2"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</row>
    <row r="149" spans="27:36" x14ac:dyDescent="0.2"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</row>
    <row r="150" spans="27:36" x14ac:dyDescent="0.2"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</row>
    <row r="151" spans="27:36" x14ac:dyDescent="0.2"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</row>
    <row r="152" spans="27:36" x14ac:dyDescent="0.2"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</row>
    <row r="153" spans="27:36" x14ac:dyDescent="0.2"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</row>
    <row r="154" spans="27:36" x14ac:dyDescent="0.2"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</row>
    <row r="155" spans="27:36" x14ac:dyDescent="0.2"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</row>
    <row r="156" spans="27:36" x14ac:dyDescent="0.2"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</row>
    <row r="157" spans="27:36" x14ac:dyDescent="0.2"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</row>
    <row r="158" spans="27:36" x14ac:dyDescent="0.2"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</row>
    <row r="159" spans="27:36" x14ac:dyDescent="0.2"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</row>
    <row r="160" spans="27:36" x14ac:dyDescent="0.2"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</row>
    <row r="161" spans="27:36" x14ac:dyDescent="0.2"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</row>
    <row r="162" spans="27:36" x14ac:dyDescent="0.2"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</row>
    <row r="163" spans="27:36" x14ac:dyDescent="0.2"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</row>
    <row r="164" spans="27:36" x14ac:dyDescent="0.2"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</row>
    <row r="165" spans="27:36" x14ac:dyDescent="0.2"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</row>
    <row r="166" spans="27:36" x14ac:dyDescent="0.2"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</row>
    <row r="167" spans="27:36" x14ac:dyDescent="0.2"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</row>
    <row r="168" spans="27:36" x14ac:dyDescent="0.2"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</row>
    <row r="169" spans="27:36" x14ac:dyDescent="0.2"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</row>
    <row r="170" spans="27:36" x14ac:dyDescent="0.2"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</row>
    <row r="171" spans="27:36" x14ac:dyDescent="0.2"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</row>
    <row r="172" spans="27:36" x14ac:dyDescent="0.2"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</row>
    <row r="173" spans="27:36" x14ac:dyDescent="0.2"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</row>
    <row r="174" spans="27:36" x14ac:dyDescent="0.2"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</row>
    <row r="175" spans="27:36" x14ac:dyDescent="0.2"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</row>
    <row r="176" spans="27:36" x14ac:dyDescent="0.2"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</row>
    <row r="177" spans="27:36" x14ac:dyDescent="0.2"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</row>
    <row r="178" spans="27:36" x14ac:dyDescent="0.2"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</row>
    <row r="179" spans="27:36" x14ac:dyDescent="0.2"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</row>
    <row r="180" spans="27:36" x14ac:dyDescent="0.2"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</row>
    <row r="181" spans="27:36" x14ac:dyDescent="0.2"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</row>
    <row r="182" spans="27:36" x14ac:dyDescent="0.2"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</row>
    <row r="183" spans="27:36" x14ac:dyDescent="0.2"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</row>
    <row r="184" spans="27:36" x14ac:dyDescent="0.2"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</row>
    <row r="185" spans="27:36" x14ac:dyDescent="0.2"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</row>
    <row r="186" spans="27:36" x14ac:dyDescent="0.2"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</row>
    <row r="187" spans="27:36" x14ac:dyDescent="0.2"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</row>
    <row r="188" spans="27:36" x14ac:dyDescent="0.2"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</row>
    <row r="189" spans="27:36" x14ac:dyDescent="0.2"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</row>
    <row r="190" spans="27:36" x14ac:dyDescent="0.2"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</row>
    <row r="191" spans="27:36" x14ac:dyDescent="0.2"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</row>
    <row r="192" spans="27:36" x14ac:dyDescent="0.2"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</row>
    <row r="193" spans="27:36" x14ac:dyDescent="0.2"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</row>
    <row r="194" spans="27:36" x14ac:dyDescent="0.2"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</row>
    <row r="195" spans="27:36" x14ac:dyDescent="0.2"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</row>
    <row r="196" spans="27:36" x14ac:dyDescent="0.2"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</row>
    <row r="197" spans="27:36" x14ac:dyDescent="0.2"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</row>
    <row r="198" spans="27:36" x14ac:dyDescent="0.2"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</row>
    <row r="199" spans="27:36" x14ac:dyDescent="0.2"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</row>
    <row r="200" spans="27:36" x14ac:dyDescent="0.2"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</row>
    <row r="201" spans="27:36" x14ac:dyDescent="0.2"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</row>
    <row r="202" spans="27:36" x14ac:dyDescent="0.2"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</row>
    <row r="203" spans="27:36" x14ac:dyDescent="0.2"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</row>
    <row r="204" spans="27:36" x14ac:dyDescent="0.2"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</row>
    <row r="205" spans="27:36" x14ac:dyDescent="0.2"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</row>
    <row r="206" spans="27:36" x14ac:dyDescent="0.2"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</row>
    <row r="207" spans="27:36" x14ac:dyDescent="0.2"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</row>
    <row r="208" spans="27:36" x14ac:dyDescent="0.2"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</row>
    <row r="209" spans="27:36" x14ac:dyDescent="0.2"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</row>
    <row r="210" spans="27:36" x14ac:dyDescent="0.2"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</row>
    <row r="211" spans="27:36" x14ac:dyDescent="0.2"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</row>
    <row r="212" spans="27:36" x14ac:dyDescent="0.2"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</row>
    <row r="213" spans="27:36" x14ac:dyDescent="0.2"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</row>
    <row r="214" spans="27:36" x14ac:dyDescent="0.2"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</row>
    <row r="215" spans="27:36" x14ac:dyDescent="0.2"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</row>
    <row r="216" spans="27:36" x14ac:dyDescent="0.2"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</row>
    <row r="217" spans="27:36" x14ac:dyDescent="0.2"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</row>
    <row r="218" spans="27:36" x14ac:dyDescent="0.2"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</row>
    <row r="219" spans="27:36" x14ac:dyDescent="0.2"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</row>
    <row r="220" spans="27:36" x14ac:dyDescent="0.2"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</row>
    <row r="221" spans="27:36" x14ac:dyDescent="0.2"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</row>
    <row r="222" spans="27:36" x14ac:dyDescent="0.2"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</row>
    <row r="223" spans="27:36" x14ac:dyDescent="0.2"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</row>
    <row r="224" spans="27:36" x14ac:dyDescent="0.2"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</row>
    <row r="225" spans="27:36" x14ac:dyDescent="0.2"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</row>
    <row r="226" spans="27:36" x14ac:dyDescent="0.2"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</row>
    <row r="227" spans="27:36" x14ac:dyDescent="0.2"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</row>
    <row r="228" spans="27:36" x14ac:dyDescent="0.2"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</row>
    <row r="229" spans="27:36" x14ac:dyDescent="0.2"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</row>
    <row r="230" spans="27:36" x14ac:dyDescent="0.2"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</row>
    <row r="231" spans="27:36" x14ac:dyDescent="0.2"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</row>
    <row r="232" spans="27:36" x14ac:dyDescent="0.2"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</row>
    <row r="233" spans="27:36" x14ac:dyDescent="0.2"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</row>
    <row r="234" spans="27:36" x14ac:dyDescent="0.2"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</row>
    <row r="235" spans="27:36" x14ac:dyDescent="0.2"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</row>
    <row r="236" spans="27:36" x14ac:dyDescent="0.2"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</row>
    <row r="237" spans="27:36" x14ac:dyDescent="0.2"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</row>
    <row r="238" spans="27:36" x14ac:dyDescent="0.2"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</row>
    <row r="239" spans="27:36" x14ac:dyDescent="0.2"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</row>
    <row r="240" spans="27:36" x14ac:dyDescent="0.2"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</row>
    <row r="241" spans="27:36" x14ac:dyDescent="0.2"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</row>
    <row r="242" spans="27:36" x14ac:dyDescent="0.2"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</row>
    <row r="243" spans="27:36" x14ac:dyDescent="0.2"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</row>
    <row r="244" spans="27:36" x14ac:dyDescent="0.2"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</row>
    <row r="245" spans="27:36" x14ac:dyDescent="0.2"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</row>
    <row r="246" spans="27:36" x14ac:dyDescent="0.2"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</row>
    <row r="247" spans="27:36" x14ac:dyDescent="0.2"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</row>
    <row r="248" spans="27:36" x14ac:dyDescent="0.2"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</row>
    <row r="249" spans="27:36" x14ac:dyDescent="0.2"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</row>
    <row r="250" spans="27:36" x14ac:dyDescent="0.2"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</row>
    <row r="251" spans="27:36" x14ac:dyDescent="0.2"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</row>
    <row r="252" spans="27:36" x14ac:dyDescent="0.2"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</row>
    <row r="253" spans="27:36" x14ac:dyDescent="0.2"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</row>
    <row r="254" spans="27:36" x14ac:dyDescent="0.2"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</row>
    <row r="255" spans="27:36" x14ac:dyDescent="0.2"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</row>
    <row r="256" spans="27:36" x14ac:dyDescent="0.2"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</row>
    <row r="257" spans="27:36" x14ac:dyDescent="0.2"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</row>
    <row r="258" spans="27:36" x14ac:dyDescent="0.2"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</row>
    <row r="259" spans="27:36" x14ac:dyDescent="0.2"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</row>
    <row r="260" spans="27:36" x14ac:dyDescent="0.2"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</row>
    <row r="261" spans="27:36" x14ac:dyDescent="0.2"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</row>
    <row r="262" spans="27:36" x14ac:dyDescent="0.2"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</row>
    <row r="263" spans="27:36" x14ac:dyDescent="0.2"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</row>
    <row r="264" spans="27:36" x14ac:dyDescent="0.2"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</row>
    <row r="265" spans="27:36" x14ac:dyDescent="0.2"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</row>
    <row r="266" spans="27:36" x14ac:dyDescent="0.2"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</row>
    <row r="267" spans="27:36" x14ac:dyDescent="0.2"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</row>
    <row r="268" spans="27:36" x14ac:dyDescent="0.2"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</row>
    <row r="269" spans="27:36" x14ac:dyDescent="0.2"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</row>
    <row r="270" spans="27:36" x14ac:dyDescent="0.2"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</row>
    <row r="271" spans="27:36" x14ac:dyDescent="0.2"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</row>
    <row r="272" spans="27:36" x14ac:dyDescent="0.2"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</row>
    <row r="273" spans="27:36" x14ac:dyDescent="0.2"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</row>
    <row r="274" spans="27:36" x14ac:dyDescent="0.2"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</row>
    <row r="275" spans="27:36" x14ac:dyDescent="0.2"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</row>
    <row r="276" spans="27:36" x14ac:dyDescent="0.2"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</row>
    <row r="277" spans="27:36" x14ac:dyDescent="0.2"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</row>
    <row r="278" spans="27:36" x14ac:dyDescent="0.2"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</row>
    <row r="279" spans="27:36" x14ac:dyDescent="0.2"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</row>
    <row r="280" spans="27:36" x14ac:dyDescent="0.2"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</row>
    <row r="281" spans="27:36" x14ac:dyDescent="0.2"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</row>
    <row r="282" spans="27:36" x14ac:dyDescent="0.2"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</row>
    <row r="283" spans="27:36" x14ac:dyDescent="0.2"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</row>
    <row r="284" spans="27:36" x14ac:dyDescent="0.2"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</row>
    <row r="285" spans="27:36" x14ac:dyDescent="0.2"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</row>
    <row r="286" spans="27:36" x14ac:dyDescent="0.2"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</row>
    <row r="287" spans="27:36" x14ac:dyDescent="0.2"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</row>
    <row r="288" spans="27:36" x14ac:dyDescent="0.2"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</row>
    <row r="289" spans="27:36" x14ac:dyDescent="0.2"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</row>
    <row r="290" spans="27:36" x14ac:dyDescent="0.2"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</row>
    <row r="291" spans="27:36" x14ac:dyDescent="0.2"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</row>
    <row r="292" spans="27:36" x14ac:dyDescent="0.2"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</row>
    <row r="293" spans="27:36" x14ac:dyDescent="0.2"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</row>
    <row r="294" spans="27:36" x14ac:dyDescent="0.2"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</row>
    <row r="295" spans="27:36" x14ac:dyDescent="0.2"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</row>
    <row r="296" spans="27:36" x14ac:dyDescent="0.2"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</row>
  </sheetData>
  <mergeCells count="1">
    <mergeCell ref="I34:U35"/>
  </mergeCells>
  <phoneticPr fontId="1" type="noConversion"/>
  <conditionalFormatting sqref="D47">
    <cfRule type="cellIs" dxfId="16" priority="1" stopIfTrue="1" operator="notBetween">
      <formula>-32768</formula>
      <formula>32767</formula>
    </cfRule>
    <cfRule type="expression" dxfId="15" priority="2" stopIfTrue="1">
      <formula>D43</formula>
    </cfRule>
  </conditionalFormatting>
  <conditionalFormatting sqref="D48">
    <cfRule type="cellIs" dxfId="14" priority="3" stopIfTrue="1" operator="notBetween">
      <formula>-32768</formula>
      <formula>32767</formula>
    </cfRule>
    <cfRule type="expression" dxfId="13" priority="4" stopIfTrue="1">
      <formula>D43</formula>
    </cfRule>
  </conditionalFormatting>
  <conditionalFormatting sqref="D49">
    <cfRule type="cellIs" dxfId="12" priority="5" stopIfTrue="1" operator="notBetween">
      <formula>-32768</formula>
      <formula>32767</formula>
    </cfRule>
    <cfRule type="expression" dxfId="11" priority="6" stopIfTrue="1">
      <formula>D43</formula>
    </cfRule>
  </conditionalFormatting>
  <conditionalFormatting sqref="D50">
    <cfRule type="cellIs" dxfId="10" priority="7" stopIfTrue="1" operator="notBetween">
      <formula>-32768</formula>
      <formula>32767</formula>
    </cfRule>
    <cfRule type="expression" dxfId="9" priority="8" stopIfTrue="1">
      <formula>D43</formula>
    </cfRule>
  </conditionalFormatting>
  <conditionalFormatting sqref="D51">
    <cfRule type="cellIs" dxfId="8" priority="9" stopIfTrue="1" operator="notBetween">
      <formula>0</formula>
      <formula>32767</formula>
    </cfRule>
    <cfRule type="expression" dxfId="7" priority="10" stopIfTrue="1">
      <formula>D43</formula>
    </cfRule>
  </conditionalFormatting>
  <conditionalFormatting sqref="D52">
    <cfRule type="cellIs" dxfId="6" priority="11" stopIfTrue="1" operator="notBetween">
      <formula>-32768</formula>
      <formula>32767</formula>
    </cfRule>
    <cfRule type="expression" dxfId="5" priority="12" stopIfTrue="1">
      <formula>D43</formula>
    </cfRule>
  </conditionalFormatting>
  <conditionalFormatting sqref="D53">
    <cfRule type="cellIs" dxfId="4" priority="13" stopIfTrue="1" operator="notBetween">
      <formula>-12.8</formula>
      <formula>12.7</formula>
    </cfRule>
    <cfRule type="expression" dxfId="3" priority="14" stopIfTrue="1">
      <formula>D43</formula>
    </cfRule>
  </conditionalFormatting>
  <conditionalFormatting sqref="E56">
    <cfRule type="cellIs" dxfId="2" priority="16" stopIfTrue="1" operator="notBetween">
      <formula>-32768</formula>
      <formula>32767</formula>
    </cfRule>
  </conditionalFormatting>
  <conditionalFormatting sqref="U4:V33 U36:V39 V34:V35">
    <cfRule type="cellIs" dxfId="1" priority="15" stopIfTrue="1" operator="notBetween">
      <formula>-32768</formula>
      <formula>32767</formula>
    </cfRule>
  </conditionalFormatting>
  <dataValidations count="3">
    <dataValidation type="list" allowBlank="1" showInputMessage="1" showErrorMessage="1" sqref="D26">
      <formula1>$F$4:$F$34</formula1>
    </dataValidation>
    <dataValidation type="list" allowBlank="1" showInputMessage="1" showErrorMessage="1" sqref="D7 D9">
      <formula1>Tolerance</formula1>
    </dataValidation>
    <dataValidation type="list" allowBlank="1" showInputMessage="1" showErrorMessage="1" sqref="D3:D4">
      <formula1>$F$4:$F$39</formula1>
    </dataValidation>
  </dataValidations>
  <pageMargins left="0.25" right="0.25" top="0.25" bottom="0.25" header="0" footer="0"/>
  <pageSetup scale="7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B2:AA68"/>
  <sheetViews>
    <sheetView zoomScale="70" workbookViewId="0">
      <selection activeCell="C10" sqref="C10"/>
    </sheetView>
  </sheetViews>
  <sheetFormatPr defaultRowHeight="12.75" x14ac:dyDescent="0.2"/>
  <cols>
    <col min="3" max="3" width="10.42578125" customWidth="1"/>
    <col min="4" max="4" width="10.5703125" bestFit="1" customWidth="1"/>
    <col min="5" max="5" width="10" bestFit="1" customWidth="1"/>
    <col min="6" max="6" width="10.28515625" bestFit="1" customWidth="1"/>
    <col min="7" max="7" width="10.5703125" bestFit="1" customWidth="1"/>
    <col min="26" max="27" width="10.5703125" bestFit="1" customWidth="1"/>
  </cols>
  <sheetData>
    <row r="2" spans="3:27" x14ac:dyDescent="0.2">
      <c r="G2" t="s">
        <v>13</v>
      </c>
      <c r="O2" t="s">
        <v>64</v>
      </c>
      <c r="P2" t="s">
        <v>64</v>
      </c>
      <c r="Q2" t="s">
        <v>65</v>
      </c>
      <c r="R2" t="s">
        <v>65</v>
      </c>
    </row>
    <row r="3" spans="3:27" x14ac:dyDescent="0.2">
      <c r="O3" t="s">
        <v>23</v>
      </c>
      <c r="P3" t="s">
        <v>24</v>
      </c>
      <c r="Q3" t="s">
        <v>23</v>
      </c>
      <c r="R3" t="s">
        <v>24</v>
      </c>
    </row>
    <row r="4" spans="3:27" x14ac:dyDescent="0.2">
      <c r="C4" s="36" t="s">
        <v>4</v>
      </c>
      <c r="D4" s="36" t="s">
        <v>37</v>
      </c>
      <c r="G4" t="s">
        <v>8</v>
      </c>
      <c r="H4" t="s">
        <v>88</v>
      </c>
      <c r="I4" t="s">
        <v>89</v>
      </c>
      <c r="K4" t="s">
        <v>22</v>
      </c>
      <c r="T4" t="s">
        <v>35</v>
      </c>
      <c r="U4" t="s">
        <v>36</v>
      </c>
      <c r="W4" t="s">
        <v>25</v>
      </c>
      <c r="X4" t="s">
        <v>26</v>
      </c>
      <c r="Z4" t="s">
        <v>27</v>
      </c>
      <c r="AA4" t="s">
        <v>28</v>
      </c>
    </row>
    <row r="5" spans="3:27" x14ac:dyDescent="0.2">
      <c r="C5" s="5">
        <f>Accuracy!F4</f>
        <v>-40</v>
      </c>
      <c r="D5" s="5">
        <f>Accuracy!G4</f>
        <v>188500</v>
      </c>
      <c r="G5" s="2">
        <f>1/($D$53+$E$53*LN(D5)+$F$53*LN(D5)^3)-273.15</f>
        <v>-40.000000000000057</v>
      </c>
      <c r="H5" s="41">
        <f>(G5)/(C5)-1</f>
        <v>0</v>
      </c>
      <c r="I5" s="4">
        <f>G5-C5</f>
        <v>-5.6843418860808015E-14</v>
      </c>
      <c r="K5">
        <f>LN(D5/$D$18)*(C5+273.15)*($C$18+273.15)/($C$18-C5)</f>
        <v>3140.4276459761468</v>
      </c>
      <c r="L5">
        <f>$D$18*EXP(K5*($C$18-C5)/(($C$18+273.15)*(C5+273.15)))</f>
        <v>188500.00000000006</v>
      </c>
      <c r="O5" s="3">
        <f>$D$18*(1-Accuracy!$D$7)*EXP(K5*(1-Accuracy!$D$9)*($C$18-C5)/(($C$18+273.15)*(C5+273.15)))</f>
        <v>181214.70466617928</v>
      </c>
      <c r="P5" s="3">
        <f>$D$18*(1-Accuracy!$D$7)*EXP(K5*(1+Accuracy!$D$9)*($C$18-C5)/(($C$18+273.15)*(C5+273.15)))</f>
        <v>192176.22702943665</v>
      </c>
      <c r="Q5" s="3">
        <f>$D$18*(1+Accuracy!$D$7)*EXP(K5*(1-Accuracy!$D$9)*($C$18-C5)/(($C$18+273.15)*(C5+273.15)))</f>
        <v>184875.60779074856</v>
      </c>
      <c r="R5" s="3">
        <f>$D$18*(1+Accuracy!$D$7)*EXP(K5*(1+Accuracy!$D$9)*($C$18-C5)/(($C$18+273.15)*(C5+273.15)))</f>
        <v>196058.57505023337</v>
      </c>
      <c r="T5" s="3">
        <f>MIN(O5:R5)</f>
        <v>181214.70466617928</v>
      </c>
      <c r="U5" s="3">
        <f>MAX(O5:R5)</f>
        <v>196058.57505023337</v>
      </c>
      <c r="V5" s="3"/>
      <c r="W5" s="1">
        <f t="shared" ref="W5:W35" si="0">T5/D5-1</f>
        <v>-3.864878161178098E-2</v>
      </c>
      <c r="X5" s="1">
        <f t="shared" ref="X5:X35" si="1">U5/D5-1</f>
        <v>4.0098541380548358E-2</v>
      </c>
      <c r="Y5" s="1"/>
      <c r="Z5" s="4">
        <f t="shared" ref="Z5:Z39" si="2">-(1/($D$53+$E$53*LN(T5)+$F$53*LN(T5)^3)-273.15-C5)</f>
        <v>-0.72493174726116649</v>
      </c>
      <c r="AA5" s="4">
        <f t="shared" ref="AA5:AA39" si="3">-(1/($D$53+$E$53*LN(U5)+$F$53*LN(U5)^3)-273.15-C5)</f>
        <v>0.71981519360721791</v>
      </c>
    </row>
    <row r="6" spans="3:27" x14ac:dyDescent="0.2">
      <c r="C6" s="5">
        <f>Accuracy!F5</f>
        <v>-35</v>
      </c>
      <c r="D6" s="5">
        <f>Accuracy!G5</f>
        <v>144100</v>
      </c>
      <c r="G6" s="2">
        <f t="shared" ref="G6:G39" si="4">1/($D$53+$E$53*LN(D6)+$F$53*LN(D6)^3)-273.15</f>
        <v>-34.993668573188984</v>
      </c>
      <c r="H6" s="41">
        <f t="shared" ref="H6:H12" si="5">(G6)/(C6)-1</f>
        <v>-1.8089790888620172E-4</v>
      </c>
      <c r="I6" s="4">
        <f t="shared" ref="I6:I35" si="6">G6-C6</f>
        <v>6.331426811016172E-3</v>
      </c>
      <c r="K6">
        <f t="shared" ref="K6:K35" si="7">LN(D6/$D$18)*(C6+273.15)*($C$18+273.15)/($C$18-C6)</f>
        <v>3157.2381666278307</v>
      </c>
      <c r="L6">
        <f t="shared" ref="L6:L35" si="8">$D$18*EXP(K6*($C$18-C6)/(($C$18+273.15)*(C6+273.15)))</f>
        <v>144100.00000000003</v>
      </c>
      <c r="O6" s="3">
        <f>$D$18*(1-Accuracy!$D$7)*EXP(K6*(1-Accuracy!$D$9)*($C$18-C6)/(($C$18+273.15)*(C6+273.15)))</f>
        <v>138903.2910371857</v>
      </c>
      <c r="P6" s="3">
        <f>$D$18*(1-Accuracy!$D$7)*EXP(K6*(1+Accuracy!$D$9)*($C$18-C6)/(($C$18+273.15)*(C6+273.15)))</f>
        <v>146516.25695140447</v>
      </c>
      <c r="Q6" s="3">
        <f>$D$18*(1+Accuracy!$D$7)*EXP(K6*(1-Accuracy!$D$9)*($C$18-C6)/(($C$18+273.15)*(C6+273.15)))</f>
        <v>141709.41812884601</v>
      </c>
      <c r="R6" s="3">
        <f>$D$18*(1+Accuracy!$D$7)*EXP(K6*(1+Accuracy!$D$9)*($C$18-C6)/(($C$18+273.15)*(C6+273.15)))</f>
        <v>149476.18133426114</v>
      </c>
      <c r="T6" s="3">
        <f t="shared" ref="T6:T35" si="9">MIN(O6:R6)</f>
        <v>138903.2910371857</v>
      </c>
      <c r="U6" s="3">
        <f t="shared" ref="U6:U35" si="10">MAX(O6:R6)</f>
        <v>149476.18133426114</v>
      </c>
      <c r="V6" s="3"/>
      <c r="W6" s="1">
        <f t="shared" si="0"/>
        <v>-3.6063212788440713E-2</v>
      </c>
      <c r="X6" s="1">
        <f t="shared" si="1"/>
        <v>3.7308683790847619E-2</v>
      </c>
      <c r="Y6" s="1"/>
      <c r="Z6" s="4">
        <f t="shared" si="2"/>
        <v>-0.70323761119436767</v>
      </c>
      <c r="AA6" s="4">
        <f t="shared" si="3"/>
        <v>0.68568970186134948</v>
      </c>
    </row>
    <row r="7" spans="3:27" x14ac:dyDescent="0.2">
      <c r="C7" s="5">
        <f>Accuracy!F6</f>
        <v>-30</v>
      </c>
      <c r="D7" s="5">
        <f>Accuracy!G6</f>
        <v>111300</v>
      </c>
      <c r="G7" s="2">
        <f t="shared" si="4"/>
        <v>-30.028311490318032</v>
      </c>
      <c r="H7" s="41">
        <f t="shared" si="5"/>
        <v>9.4371634393430881E-4</v>
      </c>
      <c r="I7" s="4">
        <f t="shared" si="6"/>
        <v>-2.8311490318031929E-2</v>
      </c>
      <c r="K7">
        <f t="shared" si="7"/>
        <v>3176.1376259296803</v>
      </c>
      <c r="L7">
        <f t="shared" si="8"/>
        <v>111300.00000000003</v>
      </c>
      <c r="O7" s="3">
        <f>$D$18*(1-Accuracy!$D$7)*EXP(K7*(1-Accuracy!$D$9)*($C$18-C7)/(($C$18+273.15)*(C7+273.15)))</f>
        <v>107563.61938761154</v>
      </c>
      <c r="P7" s="3">
        <f>$D$18*(1-Accuracy!$D$7)*EXP(K7*(1+Accuracy!$D$9)*($C$18-C7)/(($C$18+273.15)*(C7+273.15)))</f>
        <v>112874.36252259783</v>
      </c>
      <c r="Q7" s="3">
        <f>$D$18*(1+Accuracy!$D$7)*EXP(K7*(1-Accuracy!$D$9)*($C$18-C7)/(($C$18+273.15)*(C7+273.15)))</f>
        <v>109736.62179948248</v>
      </c>
      <c r="R7" s="3">
        <f>$D$18*(1+Accuracy!$D$7)*EXP(K7*(1+Accuracy!$D$9)*($C$18-C7)/(($C$18+273.15)*(C7+273.15)))</f>
        <v>115154.6526745695</v>
      </c>
      <c r="T7" s="3">
        <f t="shared" si="9"/>
        <v>107563.61938761154</v>
      </c>
      <c r="U7" s="3">
        <f t="shared" si="10"/>
        <v>115154.6526745695</v>
      </c>
      <c r="V7" s="3"/>
      <c r="W7" s="1">
        <f t="shared" si="0"/>
        <v>-3.3570355906455185E-2</v>
      </c>
      <c r="X7" s="1">
        <f t="shared" si="1"/>
        <v>3.4632997974568758E-2</v>
      </c>
      <c r="Y7" s="1"/>
      <c r="Z7" s="4">
        <f t="shared" si="2"/>
        <v>-0.63964162647653211</v>
      </c>
      <c r="AA7" s="4">
        <f t="shared" si="3"/>
        <v>0.69160014171686157</v>
      </c>
    </row>
    <row r="8" spans="3:27" x14ac:dyDescent="0.2">
      <c r="C8" s="5">
        <f>Accuracy!F7</f>
        <v>-25</v>
      </c>
      <c r="D8" s="5">
        <f>Accuracy!G7</f>
        <v>86430</v>
      </c>
      <c r="G8" s="2">
        <f t="shared" si="4"/>
        <v>-25.015677976252562</v>
      </c>
      <c r="H8" s="41">
        <f t="shared" si="5"/>
        <v>6.2711905010237601E-4</v>
      </c>
      <c r="I8" s="4">
        <f t="shared" si="6"/>
        <v>-1.5677976252561621E-2</v>
      </c>
      <c r="K8">
        <f t="shared" si="7"/>
        <v>3191.3823893697013</v>
      </c>
      <c r="L8">
        <f t="shared" si="8"/>
        <v>86430</v>
      </c>
      <c r="O8" s="3">
        <f>$D$18*(1-Accuracy!$D$7)*EXP(K8*(1-Accuracy!$D$9)*($C$18-C8)/(($C$18+273.15)*(C8+273.15)))</f>
        <v>83740.020421872512</v>
      </c>
      <c r="P8" s="3">
        <f>$D$18*(1-Accuracy!$D$7)*EXP(K8*(1+Accuracy!$D$9)*($C$18-C8)/(($C$18+273.15)*(C8+273.15)))</f>
        <v>87431.182600687083</v>
      </c>
      <c r="Q8" s="3">
        <f>$D$18*(1+Accuracy!$D$7)*EXP(K8*(1-Accuracy!$D$9)*($C$18-C8)/(($C$18+273.15)*(C8+273.15)))</f>
        <v>85431.738006152766</v>
      </c>
      <c r="R8" s="3">
        <f>$D$18*(1+Accuracy!$D$7)*EXP(K8*(1+Accuracy!$D$9)*($C$18-C8)/(($C$18+273.15)*(C8+273.15)))</f>
        <v>89197.469117872679</v>
      </c>
      <c r="T8" s="3">
        <f t="shared" si="9"/>
        <v>83740.020421872512</v>
      </c>
      <c r="U8" s="3">
        <f t="shared" si="10"/>
        <v>89197.469117872679</v>
      </c>
      <c r="V8" s="3"/>
      <c r="W8" s="1">
        <f t="shared" si="0"/>
        <v>-3.1123216222694539E-2</v>
      </c>
      <c r="X8" s="1">
        <f t="shared" si="1"/>
        <v>3.2019774590682282E-2</v>
      </c>
      <c r="Y8" s="1"/>
      <c r="Z8" s="4">
        <f t="shared" si="2"/>
        <v>-0.62187611954584554</v>
      </c>
      <c r="AA8" s="4">
        <f t="shared" si="3"/>
        <v>0.6487804317425514</v>
      </c>
    </row>
    <row r="9" spans="3:27" x14ac:dyDescent="0.2">
      <c r="C9" s="5">
        <f>Accuracy!F8</f>
        <v>-20</v>
      </c>
      <c r="D9" s="5">
        <f>Accuracy!G8</f>
        <v>67770</v>
      </c>
      <c r="G9" s="2">
        <f t="shared" si="4"/>
        <v>-20.047292804424416</v>
      </c>
      <c r="H9" s="41">
        <f t="shared" si="5"/>
        <v>2.3646402212207374E-3</v>
      </c>
      <c r="I9" s="4">
        <f t="shared" si="6"/>
        <v>-4.7292804424415635E-2</v>
      </c>
      <c r="K9">
        <f t="shared" si="7"/>
        <v>3209.4937499548068</v>
      </c>
      <c r="L9">
        <f t="shared" si="8"/>
        <v>67770.000000000015</v>
      </c>
      <c r="O9" s="3">
        <f>$D$18*(1-Accuracy!$D$7)*EXP(K9*(1-Accuracy!$D$9)*($C$18-C9)/(($C$18+273.15)*(C9+273.15)))</f>
        <v>65820.671006581018</v>
      </c>
      <c r="P9" s="3">
        <f>$D$18*(1-Accuracy!$D$7)*EXP(K9*(1+Accuracy!$D$9)*($C$18-C9)/(($C$18+273.15)*(C9+273.15)))</f>
        <v>68388.496356105752</v>
      </c>
      <c r="Q9" s="3">
        <f>$D$18*(1+Accuracy!$D$7)*EXP(K9*(1-Accuracy!$D$9)*($C$18-C9)/(($C$18+273.15)*(C9+273.15)))</f>
        <v>67150.381531966501</v>
      </c>
      <c r="R9" s="3">
        <f>$D$18*(1+Accuracy!$D$7)*EXP(K9*(1+Accuracy!$D$9)*($C$18-C9)/(($C$18+273.15)*(C9+273.15)))</f>
        <v>69770.082141077582</v>
      </c>
      <c r="T9" s="3">
        <f t="shared" si="9"/>
        <v>65820.671006581018</v>
      </c>
      <c r="U9" s="3">
        <f t="shared" si="10"/>
        <v>69770.082141077582</v>
      </c>
      <c r="V9" s="3"/>
      <c r="W9" s="1">
        <f t="shared" si="0"/>
        <v>-2.8763892480728637E-2</v>
      </c>
      <c r="X9" s="1">
        <f t="shared" si="1"/>
        <v>2.9512795353070498E-2</v>
      </c>
      <c r="Y9" s="1"/>
      <c r="Z9" s="4">
        <f t="shared" si="2"/>
        <v>-0.55896798170971351</v>
      </c>
      <c r="AA9" s="4">
        <f t="shared" si="3"/>
        <v>0.64930233105650359</v>
      </c>
    </row>
    <row r="10" spans="3:27" x14ac:dyDescent="0.2">
      <c r="C10" s="5">
        <f>Accuracy!F9</f>
        <v>-15</v>
      </c>
      <c r="D10" s="5">
        <f>Accuracy!G9</f>
        <v>53410</v>
      </c>
      <c r="G10" s="2">
        <f t="shared" si="4"/>
        <v>-15.035959076427844</v>
      </c>
      <c r="H10" s="41">
        <f t="shared" si="5"/>
        <v>2.3972717618563344E-3</v>
      </c>
      <c r="I10" s="4">
        <f t="shared" si="6"/>
        <v>-3.5959076427843684E-2</v>
      </c>
      <c r="K10">
        <f t="shared" si="7"/>
        <v>3223.8053160185946</v>
      </c>
      <c r="L10">
        <f t="shared" si="8"/>
        <v>53410.000000000029</v>
      </c>
      <c r="O10" s="3">
        <f>$D$18*(1-Accuracy!$D$7)*EXP(K10*(1-Accuracy!$D$9)*($C$18-C10)/(($C$18+273.15)*(C10+273.15)))</f>
        <v>51997.390232456535</v>
      </c>
      <c r="P10" s="3">
        <f>$D$18*(1-Accuracy!$D$7)*EXP(K10*(1+Accuracy!$D$9)*($C$18-C10)/(($C$18+273.15)*(C10+273.15)))</f>
        <v>53769.252424227212</v>
      </c>
      <c r="Q10" s="3">
        <f>$D$18*(1+Accuracy!$D$7)*EXP(K10*(1-Accuracy!$D$9)*($C$18-C10)/(($C$18+273.15)*(C10+273.15)))</f>
        <v>53047.842560384954</v>
      </c>
      <c r="R10" s="3">
        <f>$D$18*(1+Accuracy!$D$7)*EXP(K10*(1+Accuracy!$D$9)*($C$18-C10)/(($C$18+273.15)*(C10+273.15)))</f>
        <v>54855.499947948971</v>
      </c>
      <c r="T10" s="3">
        <f t="shared" si="9"/>
        <v>51997.390232456535</v>
      </c>
      <c r="U10" s="3">
        <f t="shared" si="10"/>
        <v>54855.499947948971</v>
      </c>
      <c r="V10" s="3"/>
      <c r="W10" s="1">
        <f t="shared" si="0"/>
        <v>-2.6448413546966254E-2</v>
      </c>
      <c r="X10" s="1">
        <f t="shared" si="1"/>
        <v>2.7064219208930318E-2</v>
      </c>
      <c r="Y10" s="1"/>
      <c r="Z10" s="4">
        <f t="shared" si="2"/>
        <v>-0.53756239477564804</v>
      </c>
      <c r="AA10" s="4">
        <f t="shared" si="3"/>
        <v>0.60541992144908363</v>
      </c>
    </row>
    <row r="11" spans="3:27" x14ac:dyDescent="0.2">
      <c r="C11" s="5">
        <f>Accuracy!F10</f>
        <v>-10</v>
      </c>
      <c r="D11" s="5">
        <f>Accuracy!G10</f>
        <v>42470</v>
      </c>
      <c r="G11" s="2">
        <f t="shared" si="4"/>
        <v>-10.068446945211576</v>
      </c>
      <c r="H11" s="41">
        <f t="shared" si="5"/>
        <v>6.8446945211575461E-3</v>
      </c>
      <c r="I11" s="4">
        <f t="shared" si="6"/>
        <v>-6.8446945211576349E-2</v>
      </c>
      <c r="K11">
        <f t="shared" si="7"/>
        <v>3241.92049604157</v>
      </c>
      <c r="L11">
        <f t="shared" si="8"/>
        <v>42470</v>
      </c>
      <c r="O11" s="3">
        <f>$D$18*(1-Accuracy!$D$7)*EXP(K11*(1-Accuracy!$D$9)*($C$18-C11)/(($C$18+273.15)*(C11+273.15)))</f>
        <v>41441.61130170097</v>
      </c>
      <c r="P11" s="3">
        <f>$D$18*(1-Accuracy!$D$7)*EXP(K11*(1+Accuracy!$D$9)*($C$18-C11)/(($C$18+273.15)*(C11+273.15)))</f>
        <v>42657.782758978778</v>
      </c>
      <c r="Q11" s="3">
        <f>$D$18*(1+Accuracy!$D$7)*EXP(K11*(1-Accuracy!$D$9)*($C$18-C11)/(($C$18+273.15)*(C11+273.15)))</f>
        <v>42278.815570422201</v>
      </c>
      <c r="R11" s="3">
        <f>$D$18*(1+Accuracy!$D$7)*EXP(K11*(1+Accuracy!$D$9)*($C$18-C11)/(($C$18+273.15)*(C11+273.15)))</f>
        <v>43519.556148049058</v>
      </c>
      <c r="T11" s="3">
        <f t="shared" si="9"/>
        <v>41441.61130170097</v>
      </c>
      <c r="U11" s="3">
        <f t="shared" si="10"/>
        <v>43519.556148049058</v>
      </c>
      <c r="V11" s="3"/>
      <c r="W11" s="1">
        <f t="shared" si="0"/>
        <v>-2.4214473706122619E-2</v>
      </c>
      <c r="X11" s="1">
        <f t="shared" si="1"/>
        <v>2.4712883165741939E-2</v>
      </c>
      <c r="Y11" s="1"/>
      <c r="Z11" s="4">
        <f t="shared" si="2"/>
        <v>-0.47145293398386912</v>
      </c>
      <c r="AA11" s="4">
        <f t="shared" si="3"/>
        <v>0.60446294262402489</v>
      </c>
    </row>
    <row r="12" spans="3:27" x14ac:dyDescent="0.2">
      <c r="C12" s="5">
        <f>Accuracy!F11</f>
        <v>-5</v>
      </c>
      <c r="D12" s="5">
        <f>Accuracy!G11</f>
        <v>33900</v>
      </c>
      <c r="G12" s="2">
        <f t="shared" si="4"/>
        <v>-5.0394498607498122</v>
      </c>
      <c r="H12" s="41">
        <f t="shared" si="5"/>
        <v>7.8899721499623432E-3</v>
      </c>
      <c r="I12" s="4">
        <f t="shared" si="6"/>
        <v>-3.944986074981216E-2</v>
      </c>
      <c r="K12">
        <f t="shared" si="7"/>
        <v>3253.4678923692932</v>
      </c>
      <c r="L12">
        <f t="shared" si="8"/>
        <v>33900.000000000007</v>
      </c>
      <c r="O12" s="3">
        <f>$D$18*(1-Accuracy!$D$7)*EXP(K12*(1-Accuracy!$D$9)*($C$18-C12)/(($C$18+273.15)*(C12+273.15)))</f>
        <v>33153.768132221601</v>
      </c>
      <c r="P12" s="3">
        <f>$D$18*(1-Accuracy!$D$7)*EXP(K12*(1+Accuracy!$D$9)*($C$18-C12)/(($C$18+273.15)*(C12+273.15)))</f>
        <v>33973.233947586443</v>
      </c>
      <c r="Q12" s="3">
        <f>$D$18*(1+Accuracy!$D$7)*EXP(K12*(1-Accuracy!$D$9)*($C$18-C12)/(($C$18+273.15)*(C12+273.15)))</f>
        <v>33823.54122580184</v>
      </c>
      <c r="R12" s="3">
        <f>$D$18*(1+Accuracy!$D$7)*EXP(K12*(1+Accuracy!$D$9)*($C$18-C12)/(($C$18+273.15)*(C12+273.15)))</f>
        <v>34659.561906123548</v>
      </c>
      <c r="T12" s="3">
        <f t="shared" si="9"/>
        <v>33153.768132221601</v>
      </c>
      <c r="U12" s="3">
        <f t="shared" si="10"/>
        <v>34659.561906123548</v>
      </c>
      <c r="V12" s="3"/>
      <c r="W12" s="1">
        <f t="shared" si="0"/>
        <v>-2.2012739462489606E-2</v>
      </c>
      <c r="X12" s="1">
        <f t="shared" si="1"/>
        <v>2.2405955932847998E-2</v>
      </c>
      <c r="Y12" s="1"/>
      <c r="Z12" s="4">
        <f t="shared" si="2"/>
        <v>-0.46522318123965078</v>
      </c>
      <c r="AA12" s="4">
        <f t="shared" si="3"/>
        <v>0.54040467020746519</v>
      </c>
    </row>
    <row r="13" spans="3:27" x14ac:dyDescent="0.2">
      <c r="C13" s="5">
        <f>Accuracy!F12</f>
        <v>0</v>
      </c>
      <c r="D13" s="5">
        <f>Accuracy!G12</f>
        <v>27280</v>
      </c>
      <c r="G13" s="2">
        <f t="shared" si="4"/>
        <v>-4.9961118370390523E-2</v>
      </c>
      <c r="H13" s="41">
        <f>0</f>
        <v>0</v>
      </c>
      <c r="I13" s="4">
        <f t="shared" si="6"/>
        <v>-4.9961118370390523E-2</v>
      </c>
      <c r="K13">
        <f t="shared" si="7"/>
        <v>3269.2123806123141</v>
      </c>
      <c r="L13">
        <f t="shared" si="8"/>
        <v>27279.999999999996</v>
      </c>
      <c r="O13" s="3">
        <f>$D$18*(1-Accuracy!$D$7)*EXP(K13*(1-Accuracy!$D$9)*($C$18-C13)/(($C$18+273.15)*(C13+273.15)))</f>
        <v>26737.519660449903</v>
      </c>
      <c r="P13" s="3">
        <f>$D$18*(1-Accuracy!$D$7)*EXP(K13*(1+Accuracy!$D$9)*($C$18-C13)/(($C$18+273.15)*(C13+273.15)))</f>
        <v>27279.600393110177</v>
      </c>
      <c r="Q13" s="3">
        <f>$D$18*(1+Accuracy!$D$7)*EXP(K13*(1-Accuracy!$D$9)*($C$18-C13)/(($C$18+273.15)*(C13+273.15)))</f>
        <v>27277.671572782223</v>
      </c>
      <c r="R13" s="3">
        <f>$D$18*(1+Accuracy!$D$7)*EXP(K13*(1+Accuracy!$D$9)*($C$18-C13)/(($C$18+273.15)*(C13+273.15)))</f>
        <v>27830.703431354825</v>
      </c>
      <c r="T13" s="3">
        <f t="shared" si="9"/>
        <v>26737.519660449903</v>
      </c>
      <c r="U13" s="3">
        <f t="shared" si="10"/>
        <v>27830.703431354825</v>
      </c>
      <c r="V13" s="3"/>
      <c r="W13" s="1">
        <f t="shared" si="0"/>
        <v>-1.9885642945384752E-2</v>
      </c>
      <c r="X13" s="1">
        <f t="shared" si="1"/>
        <v>2.0187075929429144E-2</v>
      </c>
      <c r="Y13" s="1"/>
      <c r="Z13" s="4">
        <f t="shared" si="2"/>
        <v>-0.41857515211358987</v>
      </c>
      <c r="AA13" s="4">
        <f t="shared" si="3"/>
        <v>0.51492938826709178</v>
      </c>
    </row>
    <row r="14" spans="3:27" x14ac:dyDescent="0.2">
      <c r="C14" s="5">
        <f>Accuracy!F13</f>
        <v>5</v>
      </c>
      <c r="D14" s="5">
        <f>Accuracy!G13</f>
        <v>22050</v>
      </c>
      <c r="G14" s="2">
        <f t="shared" si="4"/>
        <v>4.9792022221793104</v>
      </c>
      <c r="H14" s="41">
        <f t="shared" ref="H14:H35" si="11">(G14)/(C14)-1</f>
        <v>-4.15955556413794E-3</v>
      </c>
      <c r="I14" s="4">
        <f t="shared" si="6"/>
        <v>-2.0797777820689589E-2</v>
      </c>
      <c r="K14">
        <f t="shared" si="7"/>
        <v>3278.7683197675383</v>
      </c>
      <c r="L14">
        <f t="shared" si="8"/>
        <v>22050</v>
      </c>
      <c r="O14" s="3">
        <f>$D$18*(1-Accuracy!$D$7)*EXP(K14*(1-Accuracy!$D$9)*($C$18-C14)/(($C$18+273.15)*(C14+273.15)))</f>
        <v>21657.568787972188</v>
      </c>
      <c r="P14" s="3">
        <f>$D$18*(1-Accuracy!$D$7)*EXP(K14*(1+Accuracy!$D$9)*($C$18-C14)/(($C$18+273.15)*(C14+273.15)))</f>
        <v>22002.796108612409</v>
      </c>
      <c r="Q14" s="3">
        <f>$D$18*(1+Accuracy!$D$7)*EXP(K14*(1-Accuracy!$D$9)*($C$18-C14)/(($C$18+273.15)*(C14+273.15)))</f>
        <v>22095.095430153444</v>
      </c>
      <c r="R14" s="3">
        <f>$D$18*(1+Accuracy!$D$7)*EXP(K14*(1+Accuracy!$D$9)*($C$18-C14)/(($C$18+273.15)*(C14+273.15)))</f>
        <v>22447.297040099529</v>
      </c>
      <c r="T14" s="3">
        <f t="shared" si="9"/>
        <v>21657.568787972188</v>
      </c>
      <c r="U14" s="3">
        <f t="shared" si="10"/>
        <v>22447.297040099529</v>
      </c>
      <c r="V14" s="3"/>
      <c r="W14" s="1">
        <f t="shared" si="0"/>
        <v>-1.7797333878812327E-2</v>
      </c>
      <c r="X14" s="1">
        <f t="shared" si="1"/>
        <v>1.8018006353720084E-2</v>
      </c>
      <c r="Y14" s="1"/>
      <c r="Z14" s="4">
        <f t="shared" si="2"/>
        <v>-0.41011352542318491</v>
      </c>
      <c r="AA14" s="4">
        <f t="shared" si="3"/>
        <v>0.44827733277321613</v>
      </c>
    </row>
    <row r="15" spans="3:27" x14ac:dyDescent="0.2">
      <c r="C15" s="5">
        <f>Accuracy!F14</f>
        <v>10</v>
      </c>
      <c r="D15" s="5">
        <f>Accuracy!G14</f>
        <v>17960</v>
      </c>
      <c r="G15" s="2">
        <f t="shared" si="4"/>
        <v>9.9653385488422259</v>
      </c>
      <c r="H15" s="41">
        <f t="shared" si="11"/>
        <v>-3.4661451157773637E-3</v>
      </c>
      <c r="I15" s="4">
        <f t="shared" si="6"/>
        <v>-3.4661451157774081E-2</v>
      </c>
      <c r="K15">
        <f t="shared" si="7"/>
        <v>3295.5885379119959</v>
      </c>
      <c r="L15">
        <f t="shared" si="8"/>
        <v>17960</v>
      </c>
      <c r="O15" s="3">
        <f>$D$18*(1-Accuracy!$D$7)*EXP(K15*(1-Accuracy!$D$9)*($C$18-C15)/(($C$18+273.15)*(C15+273.15)))</f>
        <v>17676.588975073682</v>
      </c>
      <c r="P15" s="3">
        <f>$D$18*(1-Accuracy!$D$7)*EXP(K15*(1+Accuracy!$D$9)*($C$18-C15)/(($C$18+273.15)*(C15+273.15)))</f>
        <v>17884.820686038616</v>
      </c>
      <c r="Q15" s="3">
        <f>$D$18*(1+Accuracy!$D$7)*EXP(K15*(1-Accuracy!$D$9)*($C$18-C15)/(($C$18+273.15)*(C15+273.15)))</f>
        <v>18033.691782650931</v>
      </c>
      <c r="R15" s="3">
        <f>$D$18*(1+Accuracy!$D$7)*EXP(K15*(1+Accuracy!$D$9)*($C$18-C15)/(($C$18+273.15)*(C15+273.15)))</f>
        <v>18246.130194847479</v>
      </c>
      <c r="T15" s="3">
        <f t="shared" si="9"/>
        <v>17676.588975073682</v>
      </c>
      <c r="U15" s="3">
        <f t="shared" si="10"/>
        <v>18246.130194847479</v>
      </c>
      <c r="V15" s="3"/>
      <c r="W15" s="1">
        <f t="shared" si="0"/>
        <v>-1.5780123882311647E-2</v>
      </c>
      <c r="X15" s="1">
        <f t="shared" si="1"/>
        <v>1.5931525325583396E-2</v>
      </c>
      <c r="Y15" s="1"/>
      <c r="Z15" s="4">
        <f t="shared" si="2"/>
        <v>-0.35775167973980615</v>
      </c>
      <c r="AA15" s="4">
        <f t="shared" si="3"/>
        <v>0.42376192151101577</v>
      </c>
    </row>
    <row r="16" spans="3:27" x14ac:dyDescent="0.2">
      <c r="C16" s="5">
        <f>Accuracy!F15</f>
        <v>15</v>
      </c>
      <c r="D16" s="5">
        <f>Accuracy!G15</f>
        <v>14690</v>
      </c>
      <c r="G16" s="2">
        <f t="shared" si="4"/>
        <v>14.987427235682333</v>
      </c>
      <c r="H16" s="41">
        <f t="shared" si="11"/>
        <v>-8.3818428784454557E-4</v>
      </c>
      <c r="I16" s="4">
        <f t="shared" si="6"/>
        <v>-1.2572764317667406E-2</v>
      </c>
      <c r="K16">
        <f t="shared" si="7"/>
        <v>3304.0170146439755</v>
      </c>
      <c r="L16">
        <f t="shared" si="8"/>
        <v>14690</v>
      </c>
      <c r="O16" s="3">
        <f>$D$18*(1-Accuracy!$D$7)*EXP(K16*(1-Accuracy!$D$9)*($C$18-C16)/(($C$18+273.15)*(C16+273.15)))</f>
        <v>14487.277280948494</v>
      </c>
      <c r="P16" s="3">
        <f>$D$18*(1-Accuracy!$D$7)*EXP(K16*(1+Accuracy!$D$9)*($C$18-C16)/(($C$18+273.15)*(C16+273.15)))</f>
        <v>14599.137816471255</v>
      </c>
      <c r="Q16" s="3">
        <f>$D$18*(1+Accuracy!$D$7)*EXP(K16*(1-Accuracy!$D$9)*($C$18-C16)/(($C$18+273.15)*(C16+273.15)))</f>
        <v>14779.949549250485</v>
      </c>
      <c r="R16" s="3">
        <f>$D$18*(1+Accuracy!$D$7)*EXP(K16*(1+Accuracy!$D$9)*($C$18-C16)/(($C$18+273.15)*(C16+273.15)))</f>
        <v>14894.069893571685</v>
      </c>
      <c r="T16" s="3">
        <f t="shared" si="9"/>
        <v>14487.277280948494</v>
      </c>
      <c r="U16" s="3">
        <f t="shared" si="10"/>
        <v>14894.069893571685</v>
      </c>
      <c r="V16" s="3"/>
      <c r="W16" s="1">
        <f t="shared" si="0"/>
        <v>-1.3800048948366617E-2</v>
      </c>
      <c r="X16" s="1">
        <f t="shared" si="1"/>
        <v>1.3891755859202437E-2</v>
      </c>
      <c r="Y16" s="1"/>
      <c r="Z16" s="4">
        <f t="shared" si="2"/>
        <v>-0.33985653826823636</v>
      </c>
      <c r="AA16" s="4">
        <f t="shared" si="3"/>
        <v>0.36179225848371743</v>
      </c>
    </row>
    <row r="17" spans="3:27" x14ac:dyDescent="0.2">
      <c r="C17" s="5">
        <f>Accuracy!F16</f>
        <v>20</v>
      </c>
      <c r="D17" s="5">
        <f>Accuracy!G16</f>
        <v>12090</v>
      </c>
      <c r="G17" s="2">
        <f t="shared" si="4"/>
        <v>19.990668664782788</v>
      </c>
      <c r="H17" s="41">
        <f t="shared" si="11"/>
        <v>-4.6656676086054283E-4</v>
      </c>
      <c r="I17" s="4">
        <f t="shared" si="6"/>
        <v>-9.3313352172117447E-3</v>
      </c>
      <c r="K17">
        <f t="shared" si="7"/>
        <v>3317.6930768028587</v>
      </c>
      <c r="L17">
        <f t="shared" si="8"/>
        <v>12090</v>
      </c>
      <c r="O17" s="3">
        <f>$D$18*(1-Accuracy!$D$7)*EXP(K17*(1-Accuracy!$D$9)*($C$18-C17)/(($C$18+273.15)*(C17+273.15)))</f>
        <v>11946.404961292586</v>
      </c>
      <c r="P17" s="3">
        <f>$D$18*(1-Accuracy!$D$7)*EXP(K17*(1+Accuracy!$D$9)*($C$18-C17)/(($C$18+273.15)*(C17+273.15)))</f>
        <v>11991.838153333414</v>
      </c>
      <c r="Q17" s="3">
        <f>$D$18*(1+Accuracy!$D$7)*EXP(K17*(1-Accuracy!$D$9)*($C$18-C17)/(($C$18+273.15)*(C17+273.15)))</f>
        <v>12187.746475662134</v>
      </c>
      <c r="R17" s="3">
        <f>$D$18*(1+Accuracy!$D$7)*EXP(K17*(1+Accuracy!$D$9)*($C$18-C17)/(($C$18+273.15)*(C17+273.15)))</f>
        <v>12234.097509966412</v>
      </c>
      <c r="T17" s="3">
        <f t="shared" si="9"/>
        <v>11946.404961292586</v>
      </c>
      <c r="U17" s="3">
        <f t="shared" si="10"/>
        <v>12234.097509966412</v>
      </c>
      <c r="V17" s="3"/>
      <c r="W17" s="1">
        <f t="shared" si="0"/>
        <v>-1.1877174417486591E-2</v>
      </c>
      <c r="X17" s="1">
        <f t="shared" si="1"/>
        <v>1.1918735315666895E-2</v>
      </c>
      <c r="Y17" s="1"/>
      <c r="Z17" s="4">
        <f t="shared" si="2"/>
        <v>-0.30205325294866725</v>
      </c>
      <c r="AA17" s="4">
        <f t="shared" si="3"/>
        <v>0.31759051170052999</v>
      </c>
    </row>
    <row r="18" spans="3:27" x14ac:dyDescent="0.2">
      <c r="C18" s="5">
        <f>Accuracy!F17</f>
        <v>25</v>
      </c>
      <c r="D18" s="5">
        <f>Accuracy!G17</f>
        <v>10000</v>
      </c>
      <c r="G18" s="2">
        <f t="shared" si="4"/>
        <v>25</v>
      </c>
      <c r="H18" s="41">
        <f t="shared" si="11"/>
        <v>0</v>
      </c>
      <c r="I18" s="4">
        <f t="shared" si="6"/>
        <v>0</v>
      </c>
      <c r="K18">
        <f>(K19-K17)/2+K17</f>
        <v>3328.82552987186</v>
      </c>
      <c r="L18">
        <f t="shared" si="8"/>
        <v>10000</v>
      </c>
      <c r="O18" s="3">
        <f>$D$18*(1-Accuracy!$D$7)*EXP(K18*(1-Accuracy!$D$9)*($C$18-C18)/(($C$18+273.15)*(C18+273.15)))</f>
        <v>9900</v>
      </c>
      <c r="P18" s="3">
        <f>$D$18*(1-Accuracy!$D$7)*EXP(K18*(1+Accuracy!$D$9)*($C$18-C18)/(($C$18+273.15)*(C18+273.15)))</f>
        <v>9900</v>
      </c>
      <c r="Q18" s="3">
        <f>$D$18*(1+Accuracy!$D$7)*EXP(K18*(1-Accuracy!$D$9)*($C$18-C18)/(($C$18+273.15)*(C18+273.15)))</f>
        <v>10100</v>
      </c>
      <c r="R18" s="3">
        <f>$D$18*(1+Accuracy!$D$7)*EXP(K18*(1+Accuracy!$D$9)*($C$18-C18)/(($C$18+273.15)*(C18+273.15)))</f>
        <v>10100</v>
      </c>
      <c r="T18" s="3">
        <f t="shared" si="9"/>
        <v>9900</v>
      </c>
      <c r="U18" s="3">
        <f t="shared" si="10"/>
        <v>10100</v>
      </c>
      <c r="V18" s="3"/>
      <c r="W18" s="1">
        <f t="shared" si="0"/>
        <v>-1.0000000000000009E-2</v>
      </c>
      <c r="X18" s="1">
        <f t="shared" si="1"/>
        <v>1.0000000000000009E-2</v>
      </c>
      <c r="Y18" s="1"/>
      <c r="Z18" s="4">
        <f t="shared" si="2"/>
        <v>-0.26907354775426029</v>
      </c>
      <c r="AA18" s="4">
        <f t="shared" si="3"/>
        <v>0.26601353429572328</v>
      </c>
    </row>
    <row r="19" spans="3:27" x14ac:dyDescent="0.2">
      <c r="C19" s="5">
        <f>Accuracy!F18</f>
        <v>30</v>
      </c>
      <c r="D19" s="5">
        <f>Accuracy!G18</f>
        <v>8313</v>
      </c>
      <c r="G19" s="2">
        <f t="shared" si="4"/>
        <v>30.009625964685426</v>
      </c>
      <c r="H19" s="41">
        <f t="shared" si="11"/>
        <v>3.2086548951415494E-4</v>
      </c>
      <c r="I19" s="4">
        <f t="shared" si="6"/>
        <v>9.6259646854264247E-3</v>
      </c>
      <c r="K19">
        <f t="shared" si="7"/>
        <v>3339.9579829408613</v>
      </c>
      <c r="L19">
        <f t="shared" si="8"/>
        <v>8313</v>
      </c>
      <c r="O19" s="3">
        <f>$D$18*(1-Accuracy!$D$7)*EXP(K19*(1-Accuracy!$D$9)*($C$18-C19)/(($C$18+273.15)*(C19+273.15)))</f>
        <v>8245.0899375139725</v>
      </c>
      <c r="P19" s="3">
        <f>$D$18*(1-Accuracy!$D$7)*EXP(K19*(1+Accuracy!$D$9)*($C$18-C19)/(($C$18+273.15)*(C19+273.15)))</f>
        <v>8214.678157570459</v>
      </c>
      <c r="Q19" s="3">
        <f>$D$18*(1+Accuracy!$D$7)*EXP(K19*(1-Accuracy!$D$9)*($C$18-C19)/(($C$18+273.15)*(C19+273.15)))</f>
        <v>8411.6574109991034</v>
      </c>
      <c r="R19" s="3">
        <f>$D$18*(1+Accuracy!$D$7)*EXP(K19*(1+Accuracy!$D$9)*($C$18-C19)/(($C$18+273.15)*(C19+273.15)))</f>
        <v>8380.6312516627931</v>
      </c>
      <c r="T19" s="3">
        <f t="shared" si="9"/>
        <v>8214.678157570459</v>
      </c>
      <c r="U19" s="3">
        <f t="shared" si="10"/>
        <v>8411.6574109991034</v>
      </c>
      <c r="V19" s="3"/>
      <c r="W19" s="1">
        <f t="shared" si="0"/>
        <v>-1.1827480143094093E-2</v>
      </c>
      <c r="X19" s="1">
        <f t="shared" si="1"/>
        <v>1.186784686624609E-2</v>
      </c>
      <c r="Y19" s="1"/>
      <c r="Z19" s="4">
        <f t="shared" si="2"/>
        <v>-0.33685545683511009</v>
      </c>
      <c r="AA19" s="4">
        <f t="shared" si="3"/>
        <v>0.31429215759482076</v>
      </c>
    </row>
    <row r="20" spans="3:27" x14ac:dyDescent="0.2">
      <c r="C20" s="5">
        <f>Accuracy!F19</f>
        <v>35</v>
      </c>
      <c r="D20" s="5">
        <f>Accuracy!G19</f>
        <v>6940</v>
      </c>
      <c r="G20" s="2">
        <f t="shared" si="4"/>
        <v>35.036424862215085</v>
      </c>
      <c r="H20" s="41">
        <f t="shared" si="11"/>
        <v>1.0407103490024383E-3</v>
      </c>
      <c r="I20" s="4">
        <f t="shared" si="6"/>
        <v>3.6424862215085341E-2</v>
      </c>
      <c r="K20">
        <f t="shared" si="7"/>
        <v>3356.0376575463997</v>
      </c>
      <c r="L20">
        <f t="shared" si="8"/>
        <v>6939.9999999999991</v>
      </c>
      <c r="O20" s="3">
        <f>$D$18*(1-Accuracy!$D$7)*EXP(K20*(1-Accuracy!$D$9)*($C$18-C20)/(($C$18+273.15)*(C20+273.15)))</f>
        <v>6895.7430494044129</v>
      </c>
      <c r="P20" s="3">
        <f>$D$18*(1-Accuracy!$D$7)*EXP(K20*(1+Accuracy!$D$9)*($C$18-C20)/(($C$18+273.15)*(C20+273.15)))</f>
        <v>6845.548626420632</v>
      </c>
      <c r="Q20" s="3">
        <f>$D$18*(1+Accuracy!$D$7)*EXP(K20*(1-Accuracy!$D$9)*($C$18-C20)/(($C$18+273.15)*(C20+273.15)))</f>
        <v>7035.0509897964212</v>
      </c>
      <c r="R20" s="3">
        <f>$D$18*(1+Accuracy!$D$7)*EXP(K20*(1+Accuracy!$D$9)*($C$18-C20)/(($C$18+273.15)*(C20+273.15)))</f>
        <v>6983.8425380654926</v>
      </c>
      <c r="T20" s="3">
        <f t="shared" si="9"/>
        <v>6845.548626420632</v>
      </c>
      <c r="U20" s="3">
        <f t="shared" si="10"/>
        <v>7035.0509897964212</v>
      </c>
      <c r="V20" s="3"/>
      <c r="W20" s="1">
        <f t="shared" si="0"/>
        <v>-1.3609708008554433E-2</v>
      </c>
      <c r="X20" s="1">
        <f t="shared" si="1"/>
        <v>1.3696108039830124E-2</v>
      </c>
      <c r="Y20" s="1"/>
      <c r="Z20" s="4">
        <f t="shared" si="2"/>
        <v>-0.42350797149492792</v>
      </c>
      <c r="AA20" s="4">
        <f t="shared" si="3"/>
        <v>0.34705573914567367</v>
      </c>
    </row>
    <row r="21" spans="3:27" x14ac:dyDescent="0.2">
      <c r="C21" s="5">
        <f>Accuracy!F20</f>
        <v>40</v>
      </c>
      <c r="D21" s="5">
        <f>Accuracy!G20</f>
        <v>5827</v>
      </c>
      <c r="G21" s="2">
        <f t="shared" si="4"/>
        <v>40.033948020796856</v>
      </c>
      <c r="H21" s="41">
        <f t="shared" si="11"/>
        <v>8.4870051992136375E-4</v>
      </c>
      <c r="I21" s="4">
        <f t="shared" si="6"/>
        <v>3.3948020796856326E-2</v>
      </c>
      <c r="K21">
        <f t="shared" si="7"/>
        <v>3361.6796185952949</v>
      </c>
      <c r="L21">
        <f t="shared" si="8"/>
        <v>5827</v>
      </c>
      <c r="O21" s="3">
        <f>$D$18*(1-Accuracy!$D$7)*EXP(K21*(1-Accuracy!$D$9)*($C$18-C21)/(($C$18+273.15)*(C21+273.15)))</f>
        <v>5799.9702043362131</v>
      </c>
      <c r="P21" s="3">
        <f>$D$18*(1-Accuracy!$D$7)*EXP(K21*(1+Accuracy!$D$9)*($C$18-C21)/(($C$18+273.15)*(C21+273.15)))</f>
        <v>5737.6580638328605</v>
      </c>
      <c r="Q21" s="3">
        <f>$D$18*(1+Accuracy!$D$7)*EXP(K21*(1-Accuracy!$D$9)*($C$18-C21)/(($C$18+273.15)*(C21+273.15)))</f>
        <v>5917.1413195753285</v>
      </c>
      <c r="R21" s="3">
        <f>$D$18*(1+Accuracy!$D$7)*EXP(K21*(1+Accuracy!$D$9)*($C$18-C21)/(($C$18+273.15)*(C21+273.15)))</f>
        <v>5853.5703479506956</v>
      </c>
      <c r="T21" s="3">
        <f t="shared" si="9"/>
        <v>5737.6580638328605</v>
      </c>
      <c r="U21" s="3">
        <f t="shared" si="10"/>
        <v>5917.1413195753285</v>
      </c>
      <c r="V21" s="3"/>
      <c r="W21" s="1">
        <f t="shared" si="0"/>
        <v>-1.5332407099217349E-2</v>
      </c>
      <c r="X21" s="1">
        <f t="shared" si="1"/>
        <v>1.5469593199816112E-2</v>
      </c>
      <c r="Y21" s="1"/>
      <c r="Z21" s="4">
        <f t="shared" si="2"/>
        <v>-0.48203235962211011</v>
      </c>
      <c r="AA21" s="4">
        <f t="shared" si="3"/>
        <v>0.41020413061647787</v>
      </c>
    </row>
    <row r="22" spans="3:27" x14ac:dyDescent="0.2">
      <c r="C22" s="5">
        <f>Accuracy!F21</f>
        <v>45</v>
      </c>
      <c r="D22" s="5">
        <f>Accuracy!G21</f>
        <v>4911</v>
      </c>
      <c r="G22" s="2">
        <f t="shared" si="4"/>
        <v>45.052623149764258</v>
      </c>
      <c r="H22" s="41">
        <f t="shared" si="11"/>
        <v>1.1694033280946758E-3</v>
      </c>
      <c r="I22" s="4">
        <f t="shared" si="6"/>
        <v>5.2623149764258415E-2</v>
      </c>
      <c r="K22">
        <f t="shared" si="7"/>
        <v>3372.6557013037723</v>
      </c>
      <c r="L22">
        <f t="shared" si="8"/>
        <v>4911</v>
      </c>
      <c r="O22" s="3">
        <f>$D$18*(1-Accuracy!$D$7)*EXP(K22*(1-Accuracy!$D$9)*($C$18-C22)/(($C$18+273.15)*(C22+273.15)))</f>
        <v>4896.5864831593299</v>
      </c>
      <c r="P22" s="3">
        <f>$D$18*(1-Accuracy!$D$7)*EXP(K22*(1+Accuracy!$D$9)*($C$18-C22)/(($C$18+273.15)*(C22+273.15)))</f>
        <v>4827.4393709571586</v>
      </c>
      <c r="Q22" s="3">
        <f>$D$18*(1+Accuracy!$D$7)*EXP(K22*(1-Accuracy!$D$9)*($C$18-C22)/(($C$18+273.15)*(C22+273.15)))</f>
        <v>4995.5074222130534</v>
      </c>
      <c r="R22" s="3">
        <f>$D$18*(1+Accuracy!$D$7)*EXP(K22*(1+Accuracy!$D$9)*($C$18-C22)/(($C$18+273.15)*(C22+273.15)))</f>
        <v>4924.9633986532635</v>
      </c>
      <c r="T22" s="3">
        <f t="shared" si="9"/>
        <v>4827.4393709571586</v>
      </c>
      <c r="U22" s="3">
        <f t="shared" si="10"/>
        <v>4995.5074222130534</v>
      </c>
      <c r="V22" s="3"/>
      <c r="W22" s="1">
        <f t="shared" si="0"/>
        <v>-1.7014992678240914E-2</v>
      </c>
      <c r="X22" s="1">
        <f t="shared" si="1"/>
        <v>1.7207782979648423E-2</v>
      </c>
      <c r="Y22" s="1"/>
      <c r="Z22" s="4">
        <f t="shared" si="2"/>
        <v>-0.56347661917993719</v>
      </c>
      <c r="AA22" s="4">
        <f t="shared" si="3"/>
        <v>0.45392506773623609</v>
      </c>
    </row>
    <row r="23" spans="3:27" x14ac:dyDescent="0.2">
      <c r="C23" s="5">
        <f>Accuracy!F22</f>
        <v>50</v>
      </c>
      <c r="D23" s="5">
        <f>Accuracy!G22</f>
        <v>4160</v>
      </c>
      <c r="G23" s="2">
        <f t="shared" si="4"/>
        <v>50.049954924821577</v>
      </c>
      <c r="H23" s="41">
        <f t="shared" si="11"/>
        <v>9.9909849643164961E-4</v>
      </c>
      <c r="I23" s="4">
        <f t="shared" si="6"/>
        <v>4.9954924821577151E-2</v>
      </c>
      <c r="K23">
        <f t="shared" si="7"/>
        <v>3380.1286555311299</v>
      </c>
      <c r="L23">
        <f t="shared" si="8"/>
        <v>4160</v>
      </c>
      <c r="O23" s="3">
        <f>$D$18*(1-Accuracy!$D$7)*EXP(K23*(1-Accuracy!$D$9)*($C$18-C23)/(($C$18+273.15)*(C23+273.15)))</f>
        <v>4154.6801201081744</v>
      </c>
      <c r="P23" s="3">
        <f>$D$18*(1-Accuracy!$D$7)*EXP(K23*(1+Accuracy!$D$9)*($C$18-C23)/(($C$18+273.15)*(C23+273.15)))</f>
        <v>4082.4366905913284</v>
      </c>
      <c r="Q23" s="3">
        <f>$D$18*(1+Accuracy!$D$7)*EXP(K23*(1-Accuracy!$D$9)*($C$18-C23)/(($C$18+273.15)*(C23+273.15)))</f>
        <v>4238.6130518275313</v>
      </c>
      <c r="R23" s="3">
        <f>$D$18*(1+Accuracy!$D$7)*EXP(K23*(1+Accuracy!$D$9)*($C$18-C23)/(($C$18+273.15)*(C23+273.15)))</f>
        <v>4164.9101590881228</v>
      </c>
      <c r="T23" s="3">
        <f t="shared" si="9"/>
        <v>4082.4366905913284</v>
      </c>
      <c r="U23" s="3">
        <f t="shared" si="10"/>
        <v>4238.6130518275313</v>
      </c>
      <c r="V23" s="3"/>
      <c r="W23" s="1">
        <f t="shared" si="0"/>
        <v>-1.8645026300161405E-2</v>
      </c>
      <c r="X23" s="1">
        <f t="shared" si="1"/>
        <v>1.8897368227771993E-2</v>
      </c>
      <c r="Y23" s="1"/>
      <c r="Z23" s="4">
        <f t="shared" si="2"/>
        <v>-0.62482214261154922</v>
      </c>
      <c r="AA23" s="4">
        <f t="shared" si="3"/>
        <v>0.52019213071997683</v>
      </c>
    </row>
    <row r="24" spans="3:27" x14ac:dyDescent="0.2">
      <c r="C24" s="5">
        <f>Accuracy!F23</f>
        <v>55</v>
      </c>
      <c r="D24" s="5">
        <f>Accuracy!G23</f>
        <v>3536</v>
      </c>
      <c r="G24" s="2">
        <f t="shared" si="4"/>
        <v>55.070098319480223</v>
      </c>
      <c r="H24" s="41">
        <f t="shared" si="11"/>
        <v>1.2745148996404776E-3</v>
      </c>
      <c r="I24" s="4">
        <f t="shared" si="6"/>
        <v>7.0098319480223381E-2</v>
      </c>
      <c r="K24">
        <f t="shared" si="7"/>
        <v>3390.3740982557551</v>
      </c>
      <c r="L24">
        <f t="shared" si="8"/>
        <v>3536.0000000000005</v>
      </c>
      <c r="O24" s="3">
        <f>$D$18*(1-Accuracy!$D$7)*EXP(K24*(1-Accuracy!$D$9)*($C$18-C24)/(($C$18+273.15)*(C24+273.15)))</f>
        <v>3537.2220887674739</v>
      </c>
      <c r="P24" s="3">
        <f>$D$18*(1-Accuracy!$D$7)*EXP(K24*(1+Accuracy!$D$9)*($C$18-C24)/(($C$18+273.15)*(C24+273.15)))</f>
        <v>3464.4362446209889</v>
      </c>
      <c r="Q24" s="3">
        <f>$D$18*(1+Accuracy!$D$7)*EXP(K24*(1-Accuracy!$D$9)*($C$18-C24)/(($C$18+273.15)*(C24+273.15)))</f>
        <v>3608.6811208637864</v>
      </c>
      <c r="R24" s="3">
        <f>$D$18*(1+Accuracy!$D$7)*EXP(K24*(1+Accuracy!$D$9)*($C$18-C24)/(($C$18+273.15)*(C24+273.15)))</f>
        <v>3534.4248556234334</v>
      </c>
      <c r="T24" s="3">
        <f t="shared" si="9"/>
        <v>3464.4362446209889</v>
      </c>
      <c r="U24" s="3">
        <f t="shared" si="10"/>
        <v>3608.6811208637864</v>
      </c>
      <c r="V24" s="3"/>
      <c r="W24" s="1">
        <f t="shared" si="0"/>
        <v>-2.0238618602661518E-2</v>
      </c>
      <c r="X24" s="1">
        <f t="shared" si="1"/>
        <v>2.0554615628898931E-2</v>
      </c>
      <c r="Y24" s="1"/>
      <c r="Z24" s="4">
        <f t="shared" si="2"/>
        <v>-0.71079845359793126</v>
      </c>
      <c r="AA24" s="4">
        <f t="shared" si="3"/>
        <v>0.565419562687282</v>
      </c>
    </row>
    <row r="25" spans="3:27" x14ac:dyDescent="0.2">
      <c r="C25" s="5">
        <f>Accuracy!F24</f>
        <v>60</v>
      </c>
      <c r="D25" s="5">
        <f>Accuracy!G24</f>
        <v>3020</v>
      </c>
      <c r="G25" s="2">
        <f t="shared" si="4"/>
        <v>60.067258152340344</v>
      </c>
      <c r="H25" s="41">
        <f t="shared" si="11"/>
        <v>1.1209692056723952E-3</v>
      </c>
      <c r="I25" s="4">
        <f t="shared" si="6"/>
        <v>6.7258152340343713E-2</v>
      </c>
      <c r="K25">
        <f t="shared" si="7"/>
        <v>3397.9721934909303</v>
      </c>
      <c r="L25">
        <f t="shared" si="8"/>
        <v>3020.0000000000005</v>
      </c>
      <c r="O25" s="3">
        <f>$D$18*(1-Accuracy!$D$7)*EXP(K25*(1-Accuracy!$D$9)*($C$18-C25)/(($C$18+273.15)*(C25+273.15)))</f>
        <v>3025.8128863672719</v>
      </c>
      <c r="P25" s="3">
        <f>$D$18*(1-Accuracy!$D$7)*EXP(K25*(1+Accuracy!$D$9)*($C$18-C25)/(($C$18+273.15)*(C25+273.15)))</f>
        <v>2954.2157349762183</v>
      </c>
      <c r="Q25" s="3">
        <f>$D$18*(1+Accuracy!$D$7)*EXP(K25*(1-Accuracy!$D$9)*($C$18-C25)/(($C$18+273.15)*(C25+273.15)))</f>
        <v>3086.9404194251965</v>
      </c>
      <c r="R25" s="3">
        <f>$D$18*(1+Accuracy!$D$7)*EXP(K25*(1+Accuracy!$D$9)*($C$18-C25)/(($C$18+273.15)*(C25+273.15)))</f>
        <v>3013.8968609353337</v>
      </c>
      <c r="T25" s="3">
        <f t="shared" si="9"/>
        <v>2954.2157349762183</v>
      </c>
      <c r="U25" s="3">
        <f t="shared" si="10"/>
        <v>3086.9404194251965</v>
      </c>
      <c r="V25" s="3"/>
      <c r="W25" s="1">
        <f t="shared" si="0"/>
        <v>-2.178286921317274E-2</v>
      </c>
      <c r="X25" s="1">
        <f t="shared" si="1"/>
        <v>2.2165701796422743E-2</v>
      </c>
      <c r="Y25" s="1"/>
      <c r="Z25" s="4">
        <f t="shared" si="2"/>
        <v>-0.77501788589876242</v>
      </c>
      <c r="AA25" s="4">
        <f t="shared" si="3"/>
        <v>0.63481262436215502</v>
      </c>
    </row>
    <row r="26" spans="3:27" x14ac:dyDescent="0.2">
      <c r="C26" s="5">
        <f>Accuracy!F25</f>
        <v>65</v>
      </c>
      <c r="D26" s="5">
        <f>Accuracy!G25</f>
        <v>2588</v>
      </c>
      <c r="G26" s="2">
        <f t="shared" si="4"/>
        <v>65.081485650527441</v>
      </c>
      <c r="H26" s="41">
        <f t="shared" si="11"/>
        <v>1.2536253927297736E-3</v>
      </c>
      <c r="I26" s="4">
        <f t="shared" si="6"/>
        <v>8.1485650527440612E-2</v>
      </c>
      <c r="K26">
        <f t="shared" si="7"/>
        <v>3406.9396199091088</v>
      </c>
      <c r="L26">
        <f t="shared" si="8"/>
        <v>2588.0000000000005</v>
      </c>
      <c r="O26" s="3">
        <f>$D$18*(1-Accuracy!$D$7)*EXP(K26*(1-Accuracy!$D$9)*($C$18-C26)/(($C$18+273.15)*(C26+273.15)))</f>
        <v>2596.9872884123533</v>
      </c>
      <c r="P26" s="3">
        <f>$D$18*(1-Accuracy!$D$7)*EXP(K26*(1+Accuracy!$D$9)*($C$18-C26)/(($C$18+273.15)*(C26+273.15)))</f>
        <v>2527.7208416422891</v>
      </c>
      <c r="Q26" s="3">
        <f>$D$18*(1+Accuracy!$D$7)*EXP(K26*(1-Accuracy!$D$9)*($C$18-C26)/(($C$18+273.15)*(C26+273.15)))</f>
        <v>2649.4516780772492</v>
      </c>
      <c r="R26" s="3">
        <f>$D$18*(1+Accuracy!$D$7)*EXP(K26*(1+Accuracy!$D$9)*($C$18-C26)/(($C$18+273.15)*(C26+273.15)))</f>
        <v>2578.7859091502141</v>
      </c>
      <c r="T26" s="3">
        <f t="shared" si="9"/>
        <v>2527.7208416422891</v>
      </c>
      <c r="U26" s="3">
        <f t="shared" si="10"/>
        <v>2649.4516780772492</v>
      </c>
      <c r="V26" s="3"/>
      <c r="W26" s="1">
        <f t="shared" si="0"/>
        <v>-2.3291792255684229E-2</v>
      </c>
      <c r="X26" s="1">
        <f t="shared" si="1"/>
        <v>2.3744852425521268E-2</v>
      </c>
      <c r="Y26" s="1"/>
      <c r="Z26" s="4">
        <f t="shared" si="2"/>
        <v>-0.85807449382588175</v>
      </c>
      <c r="AA26" s="4">
        <f t="shared" si="3"/>
        <v>0.68885726351510357</v>
      </c>
    </row>
    <row r="27" spans="3:27" x14ac:dyDescent="0.2">
      <c r="C27" s="5">
        <f>Accuracy!F26</f>
        <v>70</v>
      </c>
      <c r="D27" s="5">
        <f>Accuracy!G26</f>
        <v>2228</v>
      </c>
      <c r="G27" s="2">
        <f t="shared" si="4"/>
        <v>70.068360567955722</v>
      </c>
      <c r="H27" s="41">
        <f t="shared" si="11"/>
        <v>9.7657954222452048E-4</v>
      </c>
      <c r="I27" s="4">
        <f t="shared" si="6"/>
        <v>6.8360567955721763E-2</v>
      </c>
      <c r="K27">
        <f t="shared" si="7"/>
        <v>3413.7057039817732</v>
      </c>
      <c r="L27">
        <f t="shared" si="8"/>
        <v>2228</v>
      </c>
      <c r="O27" s="3">
        <f>$D$18*(1-Accuracy!$D$7)*EXP(K27*(1-Accuracy!$D$9)*($C$18-C27)/(($C$18+273.15)*(C27+273.15)))</f>
        <v>2239.0883444079827</v>
      </c>
      <c r="P27" s="3">
        <f>$D$18*(1-Accuracy!$D$7)*EXP(K27*(1+Accuracy!$D$9)*($C$18-C27)/(($C$18+273.15)*(C27+273.15)))</f>
        <v>2172.8489322677278</v>
      </c>
      <c r="Q27" s="3">
        <f>$D$18*(1+Accuracy!$D$7)*EXP(K27*(1-Accuracy!$D$9)*($C$18-C27)/(($C$18+273.15)*(C27+273.15)))</f>
        <v>2284.3224523758208</v>
      </c>
      <c r="R27" s="3">
        <f>$D$18*(1+Accuracy!$D$7)*EXP(K27*(1+Accuracy!$D$9)*($C$18-C27)/(($C$18+273.15)*(C27+273.15)))</f>
        <v>2216.7448702933384</v>
      </c>
      <c r="T27" s="3">
        <f t="shared" si="9"/>
        <v>2172.8489322677278</v>
      </c>
      <c r="U27" s="3">
        <f t="shared" si="10"/>
        <v>2284.3224523758208</v>
      </c>
      <c r="V27" s="3"/>
      <c r="W27" s="1">
        <f t="shared" si="0"/>
        <v>-2.4753621064754094E-2</v>
      </c>
      <c r="X27" s="1">
        <f t="shared" si="1"/>
        <v>2.527937718842943E-2</v>
      </c>
      <c r="Y27" s="1"/>
      <c r="Z27" s="4">
        <f t="shared" si="2"/>
        <v>-0.91494144428128266</v>
      </c>
      <c r="AA27" s="4">
        <f t="shared" si="3"/>
        <v>0.77137054970404506</v>
      </c>
    </row>
    <row r="28" spans="3:27" x14ac:dyDescent="0.2">
      <c r="C28" s="5">
        <f>Accuracy!F27</f>
        <v>75</v>
      </c>
      <c r="D28" s="5">
        <f>Accuracy!G27</f>
        <v>1924</v>
      </c>
      <c r="G28" s="2">
        <f t="shared" si="4"/>
        <v>75.073476123449097</v>
      </c>
      <c r="H28" s="41">
        <f t="shared" si="11"/>
        <v>9.7968164598793983E-4</v>
      </c>
      <c r="I28" s="4">
        <f t="shared" si="6"/>
        <v>7.3476123449097486E-2</v>
      </c>
      <c r="K28">
        <f t="shared" si="7"/>
        <v>3421.6494746958688</v>
      </c>
      <c r="L28">
        <f t="shared" si="8"/>
        <v>1924.0000000000002</v>
      </c>
      <c r="O28" s="3">
        <f>$D$18*(1-Accuracy!$D$7)*EXP(K28*(1-Accuracy!$D$9)*($C$18-C28)/(($C$18+273.15)*(C28+273.15)))</f>
        <v>1936.4139899869515</v>
      </c>
      <c r="P28" s="3">
        <f>$D$18*(1-Accuracy!$D$7)*EXP(K28*(1+Accuracy!$D$9)*($C$18-C28)/(($C$18+273.15)*(C28+273.15)))</f>
        <v>1873.6234484777951</v>
      </c>
      <c r="Q28" s="3">
        <f>$D$18*(1+Accuracy!$D$7)*EXP(K28*(1-Accuracy!$D$9)*($C$18-C28)/(($C$18+273.15)*(C28+273.15)))</f>
        <v>1975.5334645321425</v>
      </c>
      <c r="R28" s="3">
        <f>$D$18*(1+Accuracy!$D$7)*EXP(K28*(1+Accuracy!$D$9)*($C$18-C28)/(($C$18+273.15)*(C28+273.15)))</f>
        <v>1911.4744272349224</v>
      </c>
      <c r="T28" s="3">
        <f t="shared" si="9"/>
        <v>1873.6234484777951</v>
      </c>
      <c r="U28" s="3">
        <f t="shared" si="10"/>
        <v>1975.5334645321425</v>
      </c>
      <c r="V28" s="3"/>
      <c r="W28" s="1">
        <f t="shared" si="0"/>
        <v>-2.6183238836904765E-2</v>
      </c>
      <c r="X28" s="1">
        <f t="shared" si="1"/>
        <v>2.6784544975126057E-2</v>
      </c>
      <c r="Y28" s="1"/>
      <c r="Z28" s="4">
        <f t="shared" si="2"/>
        <v>-0.99185545013290266</v>
      </c>
      <c r="AA28" s="4">
        <f t="shared" si="3"/>
        <v>0.83739568371754558</v>
      </c>
    </row>
    <row r="29" spans="3:27" x14ac:dyDescent="0.2">
      <c r="C29" s="5">
        <f>Accuracy!F28</f>
        <v>80</v>
      </c>
      <c r="D29" s="5">
        <f>Accuracy!G28</f>
        <v>1668</v>
      </c>
      <c r="G29" s="2">
        <f t="shared" si="4"/>
        <v>80.064381359922322</v>
      </c>
      <c r="H29" s="41">
        <f t="shared" si="11"/>
        <v>8.0476699902898297E-4</v>
      </c>
      <c r="I29" s="4">
        <f t="shared" si="6"/>
        <v>6.438135992232219E-2</v>
      </c>
      <c r="K29">
        <f t="shared" si="7"/>
        <v>3428.6027558201881</v>
      </c>
      <c r="L29">
        <f t="shared" si="8"/>
        <v>1668.0000000000002</v>
      </c>
      <c r="O29" s="3">
        <f>$D$18*(1-Accuracy!$D$7)*EXP(K29*(1-Accuracy!$D$9)*($C$18-C29)/(($C$18+273.15)*(C29+273.15)))</f>
        <v>1681.1608988105734</v>
      </c>
      <c r="P29" s="3">
        <f>$D$18*(1-Accuracy!$D$7)*EXP(K29*(1+Accuracy!$D$9)*($C$18-C29)/(($C$18+273.15)*(C29+273.15)))</f>
        <v>1622.008782341572</v>
      </c>
      <c r="Q29" s="3">
        <f>$D$18*(1+Accuracy!$D$7)*EXP(K29*(1-Accuracy!$D$9)*($C$18-C29)/(($C$18+273.15)*(C29+273.15)))</f>
        <v>1715.1237452511909</v>
      </c>
      <c r="R29" s="3">
        <f>$D$18*(1+Accuracy!$D$7)*EXP(K29*(1+Accuracy!$D$9)*($C$18-C29)/(($C$18+273.15)*(C29+273.15)))</f>
        <v>1654.7766365302907</v>
      </c>
      <c r="T29" s="3">
        <f t="shared" si="9"/>
        <v>1622.008782341572</v>
      </c>
      <c r="U29" s="3">
        <f t="shared" si="10"/>
        <v>1715.1237452511909</v>
      </c>
      <c r="V29" s="3"/>
      <c r="W29" s="1">
        <f t="shared" si="0"/>
        <v>-2.7572672457091163E-2</v>
      </c>
      <c r="X29" s="1">
        <f t="shared" si="1"/>
        <v>2.8251645834047379E-2</v>
      </c>
      <c r="Y29" s="1"/>
      <c r="Z29" s="4">
        <f t="shared" si="2"/>
        <v>-1.0559095591423215</v>
      </c>
      <c r="AA29" s="4">
        <f t="shared" si="3"/>
        <v>0.91893013424845549</v>
      </c>
    </row>
    <row r="30" spans="3:27" x14ac:dyDescent="0.2">
      <c r="C30" s="5">
        <f>Accuracy!F29</f>
        <v>85</v>
      </c>
      <c r="D30" s="5">
        <f>Accuracy!G29</f>
        <v>1451</v>
      </c>
      <c r="G30" s="2">
        <f t="shared" si="4"/>
        <v>85.054212638294132</v>
      </c>
      <c r="H30" s="41">
        <f t="shared" si="11"/>
        <v>6.3779574463684874E-4</v>
      </c>
      <c r="I30" s="4">
        <f t="shared" si="6"/>
        <v>5.4212638294131921E-2</v>
      </c>
      <c r="K30">
        <f t="shared" si="7"/>
        <v>3435.4256651033616</v>
      </c>
      <c r="L30">
        <f t="shared" si="8"/>
        <v>1451</v>
      </c>
      <c r="O30" s="3">
        <f>$D$18*(1-Accuracy!$D$7)*EXP(K30*(1-Accuracy!$D$9)*($C$18-C30)/(($C$18+273.15)*(C30+273.15)))</f>
        <v>1464.4883894223915</v>
      </c>
      <c r="P30" s="3">
        <f>$D$18*(1-Accuracy!$D$7)*EXP(K30*(1+Accuracy!$D$9)*($C$18-C30)/(($C$18+273.15)*(C30+273.15)))</f>
        <v>1409.0268895295685</v>
      </c>
      <c r="Q30" s="3">
        <f>$D$18*(1+Accuracy!$D$7)*EXP(K30*(1-Accuracy!$D$9)*($C$18-C30)/(($C$18+273.15)*(C30+273.15)))</f>
        <v>1494.0740134511266</v>
      </c>
      <c r="R30" s="3">
        <f>$D$18*(1+Accuracy!$D$7)*EXP(K30*(1+Accuracy!$D$9)*($C$18-C30)/(($C$18+273.15)*(C30+273.15)))</f>
        <v>1437.4920792170346</v>
      </c>
      <c r="T30" s="3">
        <f t="shared" si="9"/>
        <v>1409.0268895295685</v>
      </c>
      <c r="U30" s="3">
        <f t="shared" si="10"/>
        <v>1494.0740134511266</v>
      </c>
      <c r="V30" s="3"/>
      <c r="W30" s="1">
        <f t="shared" si="0"/>
        <v>-2.8927023067147783E-2</v>
      </c>
      <c r="X30" s="1">
        <f t="shared" si="1"/>
        <v>2.9685743246813612E-2</v>
      </c>
      <c r="Y30" s="1"/>
      <c r="Z30" s="4">
        <f t="shared" si="2"/>
        <v>-1.1204330270345508</v>
      </c>
      <c r="AA30" s="4">
        <f t="shared" si="3"/>
        <v>1.0030271096686647</v>
      </c>
    </row>
    <row r="31" spans="3:27" x14ac:dyDescent="0.2">
      <c r="C31" s="5">
        <f>Accuracy!F30</f>
        <v>90</v>
      </c>
      <c r="D31" s="5">
        <f>Accuracy!G30</f>
        <v>1266</v>
      </c>
      <c r="G31" s="2">
        <f t="shared" si="4"/>
        <v>90.054603535227727</v>
      </c>
      <c r="H31" s="41">
        <f t="shared" si="11"/>
        <v>6.0670594697476155E-4</v>
      </c>
      <c r="I31" s="4">
        <f t="shared" si="6"/>
        <v>5.4603535227727207E-2</v>
      </c>
      <c r="K31">
        <f t="shared" si="7"/>
        <v>3442.6250908780235</v>
      </c>
      <c r="L31">
        <f t="shared" si="8"/>
        <v>1266.0000000000002</v>
      </c>
      <c r="O31" s="3">
        <f>$D$18*(1-Accuracy!$D$7)*EXP(K31*(1-Accuracy!$D$9)*($C$18-C31)/(($C$18+273.15)*(C31+273.15)))</f>
        <v>1279.512588990136</v>
      </c>
      <c r="P31" s="3">
        <f>$D$18*(1-Accuracy!$D$7)*EXP(K31*(1+Accuracy!$D$9)*($C$18-C31)/(($C$18+273.15)*(C31+273.15)))</f>
        <v>1227.7027745696612</v>
      </c>
      <c r="Q31" s="3">
        <f>$D$18*(1+Accuracy!$D$7)*EXP(K31*(1-Accuracy!$D$9)*($C$18-C31)/(($C$18+273.15)*(C31+273.15)))</f>
        <v>1305.3613281616538</v>
      </c>
      <c r="R31" s="3">
        <f>$D$18*(1+Accuracy!$D$7)*EXP(K31*(1+Accuracy!$D$9)*($C$18-C31)/(($C$18+273.15)*(C31+273.15)))</f>
        <v>1252.5048508235936</v>
      </c>
      <c r="T31" s="3">
        <f t="shared" si="9"/>
        <v>1227.7027745696612</v>
      </c>
      <c r="U31" s="3">
        <f t="shared" si="10"/>
        <v>1305.3613281616538</v>
      </c>
      <c r="V31" s="3"/>
      <c r="W31" s="1">
        <f t="shared" si="0"/>
        <v>-3.0250573009746318E-2</v>
      </c>
      <c r="X31" s="1">
        <f t="shared" si="1"/>
        <v>3.1091096494197279E-2</v>
      </c>
      <c r="Y31" s="1"/>
      <c r="Z31" s="4">
        <f t="shared" si="2"/>
        <v>-1.1972454025195702</v>
      </c>
      <c r="AA31" s="4">
        <f t="shared" si="3"/>
        <v>1.0782353492315337</v>
      </c>
    </row>
    <row r="32" spans="3:27" x14ac:dyDescent="0.2">
      <c r="C32" s="5">
        <f>Accuracy!F31</f>
        <v>95</v>
      </c>
      <c r="D32" s="5">
        <f>Accuracy!G31</f>
        <v>1108</v>
      </c>
      <c r="G32" s="2">
        <f t="shared" si="4"/>
        <v>95.058333015471021</v>
      </c>
      <c r="H32" s="41">
        <f t="shared" si="11"/>
        <v>6.1403174180019171E-4</v>
      </c>
      <c r="I32" s="4">
        <f t="shared" si="6"/>
        <v>5.8333015471021099E-2</v>
      </c>
      <c r="K32">
        <f t="shared" si="7"/>
        <v>3449.7679754896271</v>
      </c>
      <c r="L32">
        <f t="shared" si="8"/>
        <v>1107.9999999999998</v>
      </c>
      <c r="O32" s="3">
        <f>$D$18*(1-Accuracy!$D$7)*EXP(K32*(1-Accuracy!$D$9)*($C$18-C32)/(($C$18+273.15)*(C32+273.15)))</f>
        <v>1121.3199716898132</v>
      </c>
      <c r="P32" s="3">
        <f>$D$18*(1-Accuracy!$D$7)*EXP(K32*(1+Accuracy!$D$9)*($C$18-C32)/(($C$18+273.15)*(C32+273.15)))</f>
        <v>1073.0509727627025</v>
      </c>
      <c r="Q32" s="3">
        <f>$D$18*(1+Accuracy!$D$7)*EXP(K32*(1-Accuracy!$D$9)*($C$18-C32)/(($C$18+273.15)*(C32+273.15)))</f>
        <v>1143.9729004108194</v>
      </c>
      <c r="R32" s="3">
        <f>$D$18*(1+Accuracy!$D$7)*EXP(K32*(1+Accuracy!$D$9)*($C$18-C32)/(($C$18+273.15)*(C32+273.15)))</f>
        <v>1094.7287701922521</v>
      </c>
      <c r="T32" s="3">
        <f t="shared" si="9"/>
        <v>1073.0509727627025</v>
      </c>
      <c r="U32" s="3">
        <f t="shared" si="10"/>
        <v>1143.9729004108194</v>
      </c>
      <c r="V32" s="3"/>
      <c r="W32" s="1">
        <f t="shared" si="0"/>
        <v>-3.1542443354961702E-2</v>
      </c>
      <c r="X32" s="1">
        <f t="shared" si="1"/>
        <v>3.2466516616262986E-2</v>
      </c>
      <c r="Y32" s="1"/>
      <c r="Z32" s="4">
        <f t="shared" si="2"/>
        <v>-1.2790291067901762</v>
      </c>
      <c r="AA32" s="4">
        <f t="shared" si="3"/>
        <v>1.1516785623542773</v>
      </c>
    </row>
    <row r="33" spans="2:27" x14ac:dyDescent="0.2">
      <c r="C33" s="5">
        <f>Accuracy!F32</f>
        <v>100</v>
      </c>
      <c r="D33" s="5">
        <f>Accuracy!G32</f>
        <v>973.1</v>
      </c>
      <c r="G33" s="2">
        <f t="shared" si="4"/>
        <v>100.04625159308341</v>
      </c>
      <c r="H33" s="41">
        <f t="shared" si="11"/>
        <v>4.6251593083401765E-4</v>
      </c>
      <c r="I33" s="4">
        <f t="shared" si="6"/>
        <v>4.6251593083411535E-2</v>
      </c>
      <c r="K33">
        <f t="shared" si="7"/>
        <v>3456.0945380941935</v>
      </c>
      <c r="L33">
        <f t="shared" si="8"/>
        <v>973.09999999999991</v>
      </c>
      <c r="O33" s="3">
        <f>$D$18*(1-Accuracy!$D$7)*EXP(K33*(1-Accuracy!$D$9)*($C$18-C33)/(($C$18+273.15)*(C33+273.15)))</f>
        <v>986.07759787456644</v>
      </c>
      <c r="P33" s="3">
        <f>$D$18*(1-Accuracy!$D$7)*EXP(K33*(1+Accuracy!$D$9)*($C$18-C33)/(($C$18+273.15)*(C33+273.15)))</f>
        <v>941.1833634203058</v>
      </c>
      <c r="Q33" s="3">
        <f>$D$18*(1+Accuracy!$D$7)*EXP(K33*(1-Accuracy!$D$9)*($C$18-C33)/(($C$18+273.15)*(C33+273.15)))</f>
        <v>1005.998357427588</v>
      </c>
      <c r="R33" s="3">
        <f>$D$18*(1+Accuracy!$D$7)*EXP(K33*(1+Accuracy!$D$9)*($C$18-C33)/(($C$18+273.15)*(C33+273.15)))</f>
        <v>960.19716874192818</v>
      </c>
      <c r="T33" s="3">
        <f t="shared" si="9"/>
        <v>941.1833634203058</v>
      </c>
      <c r="U33" s="3">
        <f t="shared" si="10"/>
        <v>1005.998357427588</v>
      </c>
      <c r="V33" s="3"/>
      <c r="W33" s="1">
        <f t="shared" si="0"/>
        <v>-3.2798927735786854E-2</v>
      </c>
      <c r="X33" s="1">
        <f t="shared" si="1"/>
        <v>3.380778689506525E-2</v>
      </c>
      <c r="Y33" s="1"/>
      <c r="Z33" s="4">
        <f t="shared" si="2"/>
        <v>-1.3463371140458662</v>
      </c>
      <c r="AA33" s="4">
        <f t="shared" si="3"/>
        <v>1.2422105538694836</v>
      </c>
    </row>
    <row r="34" spans="2:27" x14ac:dyDescent="0.2">
      <c r="C34" s="5">
        <f>Accuracy!F33</f>
        <v>105</v>
      </c>
      <c r="D34" s="5">
        <f>Accuracy!G33</f>
        <v>857.2</v>
      </c>
      <c r="G34" s="2">
        <f t="shared" si="4"/>
        <v>105.03206861433148</v>
      </c>
      <c r="H34" s="41">
        <f t="shared" si="11"/>
        <v>3.0541537458561585E-4</v>
      </c>
      <c r="I34" s="4">
        <f t="shared" si="6"/>
        <v>3.2068614331478784E-2</v>
      </c>
      <c r="K34">
        <f t="shared" si="7"/>
        <v>3462.2274570829518</v>
      </c>
      <c r="L34">
        <f t="shared" si="8"/>
        <v>857.2</v>
      </c>
      <c r="O34" s="3">
        <f>$D$18*(1-Accuracy!$D$7)*EXP(K34*(1-Accuracy!$D$9)*($C$18-C34)/(($C$18+273.15)*(C34+273.15)))</f>
        <v>869.73417486671588</v>
      </c>
      <c r="P34" s="3">
        <f>$D$18*(1-Accuracy!$D$7)*EXP(K34*(1+Accuracy!$D$9)*($C$18-C34)/(($C$18+273.15)*(C34+273.15)))</f>
        <v>828.03401682400681</v>
      </c>
      <c r="Q34" s="3">
        <f>$D$18*(1+Accuracy!$D$7)*EXP(K34*(1-Accuracy!$D$9)*($C$18-C34)/(($C$18+273.15)*(C34+273.15)))</f>
        <v>887.30456223776071</v>
      </c>
      <c r="R34" s="3">
        <f>$D$18*(1+Accuracy!$D$7)*EXP(K34*(1+Accuracy!$D$9)*($C$18-C34)/(($C$18+273.15)*(C34+273.15)))</f>
        <v>844.76197675984531</v>
      </c>
      <c r="T34" s="3">
        <f t="shared" si="9"/>
        <v>828.03401682400681</v>
      </c>
      <c r="U34" s="3">
        <f t="shared" si="10"/>
        <v>887.30456223776071</v>
      </c>
      <c r="V34" s="3"/>
      <c r="W34" s="1">
        <f t="shared" si="0"/>
        <v>-3.4024712057854956E-2</v>
      </c>
      <c r="X34" s="1">
        <f t="shared" si="1"/>
        <v>3.5119647967522871E-2</v>
      </c>
      <c r="Y34" s="1"/>
      <c r="Z34" s="4">
        <f t="shared" si="2"/>
        <v>-1.4130953756038593</v>
      </c>
      <c r="AA34" s="4">
        <f t="shared" si="3"/>
        <v>1.3363345889886205</v>
      </c>
    </row>
    <row r="35" spans="2:27" x14ac:dyDescent="0.2">
      <c r="C35" s="5">
        <f>Accuracy!F34</f>
        <v>110</v>
      </c>
      <c r="D35" s="5">
        <f>Accuracy!G34</f>
        <v>757.6</v>
      </c>
      <c r="G35" s="2">
        <f t="shared" si="4"/>
        <v>110</v>
      </c>
      <c r="H35" s="41">
        <f t="shared" si="11"/>
        <v>0</v>
      </c>
      <c r="I35" s="4">
        <f t="shared" si="6"/>
        <v>0</v>
      </c>
      <c r="K35">
        <f t="shared" si="7"/>
        <v>3467.6522274550539</v>
      </c>
      <c r="L35">
        <f t="shared" si="8"/>
        <v>757.60000000000036</v>
      </c>
      <c r="O35" s="3">
        <f>$D$18*(1-Accuracy!$D$7)*EXP(K35*(1-Accuracy!$D$9)*($C$18-C35)/(($C$18+273.15)*(C35+273.15)))</f>
        <v>769.62782536631573</v>
      </c>
      <c r="P35" s="3">
        <f>$D$18*(1-Accuracy!$D$7)*EXP(K35*(1+Accuracy!$D$9)*($C$18-C35)/(($C$18+273.15)*(C35+273.15)))</f>
        <v>730.91951984487127</v>
      </c>
      <c r="Q35" s="3">
        <f>$D$18*(1+Accuracy!$D$7)*EXP(K35*(1-Accuracy!$D$9)*($C$18-C35)/(($C$18+273.15)*(C35+273.15)))</f>
        <v>785.17586224240301</v>
      </c>
      <c r="R35" s="3">
        <f>$D$18*(1+Accuracy!$D$7)*EXP(K35*(1+Accuracy!$D$9)*($C$18-C35)/(($C$18+273.15)*(C35+273.15)))</f>
        <v>745.68557075082822</v>
      </c>
      <c r="T35" s="3">
        <f t="shared" si="9"/>
        <v>730.91951984487127</v>
      </c>
      <c r="U35" s="3">
        <f t="shared" si="10"/>
        <v>785.17586224240301</v>
      </c>
      <c r="V35" s="3"/>
      <c r="W35" s="1">
        <f t="shared" si="0"/>
        <v>-3.5217106857350466E-2</v>
      </c>
      <c r="X35" s="1">
        <f t="shared" si="1"/>
        <v>3.6398973392823386E-2</v>
      </c>
      <c r="Y35" s="1"/>
      <c r="Z35" s="4">
        <f t="shared" si="2"/>
        <v>-1.4632607661239945</v>
      </c>
      <c r="AA35" s="4">
        <f t="shared" si="3"/>
        <v>1.4495775072583683</v>
      </c>
    </row>
    <row r="36" spans="2:27" x14ac:dyDescent="0.2">
      <c r="C36" s="5">
        <f>Accuracy!F35</f>
        <v>115</v>
      </c>
      <c r="D36" s="5">
        <f>Accuracy!G35</f>
        <v>0</v>
      </c>
      <c r="G36" s="2" t="e">
        <f t="shared" si="4"/>
        <v>#NUM!</v>
      </c>
      <c r="H36" s="41" t="e">
        <f>(G36)/(C36)-1</f>
        <v>#NUM!</v>
      </c>
      <c r="I36" s="4" t="e">
        <f>G36-C36</f>
        <v>#NUM!</v>
      </c>
      <c r="K36" t="e">
        <f>LN(D36/$D$18)*(C36+273.15)*($C$18+273.15)/($C$18-C36)</f>
        <v>#NUM!</v>
      </c>
      <c r="L36" t="e">
        <f>$D$18*EXP(K36*($C$18-C36)/(($C$18+273.15)*(C36+273.15)))</f>
        <v>#NUM!</v>
      </c>
      <c r="O36" s="3" t="e">
        <f>$D$18*(1-Accuracy!$D$7)*EXP(K36*(1-Accuracy!$D$9)*($C$18-C36)/(($C$18+273.15)*(C36+273.15)))</f>
        <v>#NUM!</v>
      </c>
      <c r="P36" s="3" t="e">
        <f>$D$18*(1-Accuracy!$D$7)*EXP(K36*(1+Accuracy!$D$9)*($C$18-C36)/(($C$18+273.15)*(C36+273.15)))</f>
        <v>#NUM!</v>
      </c>
      <c r="Q36" s="3" t="e">
        <f>$D$18*(1+Accuracy!$D$7)*EXP(K36*(1-Accuracy!$D$9)*($C$18-C36)/(($C$18+273.15)*(C36+273.15)))</f>
        <v>#NUM!</v>
      </c>
      <c r="R36" s="3" t="e">
        <f>$D$18*(1+Accuracy!$D$7)*EXP(K36*(1+Accuracy!$D$9)*($C$18-C36)/(($C$18+273.15)*(C36+273.15)))</f>
        <v>#NUM!</v>
      </c>
      <c r="T36" s="3" t="e">
        <f>MIN(O36:R36)</f>
        <v>#NUM!</v>
      </c>
      <c r="U36" s="3" t="e">
        <f>MAX(O36:R36)</f>
        <v>#NUM!</v>
      </c>
      <c r="V36" s="3"/>
      <c r="W36" s="1" t="e">
        <f>T36/D36-1</f>
        <v>#NUM!</v>
      </c>
      <c r="X36" s="1" t="e">
        <f>U36/D36-1</f>
        <v>#NUM!</v>
      </c>
      <c r="Y36" s="1"/>
      <c r="Z36" s="4" t="e">
        <f t="shared" si="2"/>
        <v>#NUM!</v>
      </c>
      <c r="AA36" s="4" t="e">
        <f t="shared" si="3"/>
        <v>#NUM!</v>
      </c>
    </row>
    <row r="37" spans="2:27" x14ac:dyDescent="0.2">
      <c r="C37" s="5">
        <f>Accuracy!F36</f>
        <v>0</v>
      </c>
      <c r="D37" s="5">
        <f>Accuracy!G36</f>
        <v>0</v>
      </c>
      <c r="G37" s="2" t="e">
        <f t="shared" si="4"/>
        <v>#NUM!</v>
      </c>
      <c r="H37" s="41" t="e">
        <f>(G37)/(C37)-1</f>
        <v>#NUM!</v>
      </c>
      <c r="I37" s="4" t="e">
        <f>G37-C37</f>
        <v>#NUM!</v>
      </c>
      <c r="K37" t="e">
        <f>LN(D37/$D$18)*(C37+273.15)*($C$18+273.15)/($C$18-C37)</f>
        <v>#NUM!</v>
      </c>
      <c r="L37" t="e">
        <f>$D$18*EXP(K37*($C$18-C37)/(($C$18+273.15)*(C37+273.15)))</f>
        <v>#NUM!</v>
      </c>
      <c r="O37" s="3" t="e">
        <f>$D$18*(1-Accuracy!$D$7)*EXP(K37*(1-Accuracy!$D$9)*($C$18-C37)/(($C$18+273.15)*(C37+273.15)))</f>
        <v>#NUM!</v>
      </c>
      <c r="P37" s="3" t="e">
        <f>$D$18*(1-Accuracy!$D$7)*EXP(K37*(1+Accuracy!$D$9)*($C$18-C37)/(($C$18+273.15)*(C37+273.15)))</f>
        <v>#NUM!</v>
      </c>
      <c r="Q37" s="3" t="e">
        <f>$D$18*(1+Accuracy!$D$7)*EXP(K37*(1-Accuracy!$D$9)*($C$18-C37)/(($C$18+273.15)*(C37+273.15)))</f>
        <v>#NUM!</v>
      </c>
      <c r="R37" s="3" t="e">
        <f>$D$18*(1+Accuracy!$D$7)*EXP(K37*(1+Accuracy!$D$9)*($C$18-C37)/(($C$18+273.15)*(C37+273.15)))</f>
        <v>#NUM!</v>
      </c>
      <c r="T37" s="3" t="e">
        <f>MIN(O37:R37)</f>
        <v>#NUM!</v>
      </c>
      <c r="U37" s="3" t="e">
        <f>MAX(O37:R37)</f>
        <v>#NUM!</v>
      </c>
      <c r="V37" s="3"/>
      <c r="W37" s="1" t="e">
        <f>T37/D37-1</f>
        <v>#NUM!</v>
      </c>
      <c r="X37" s="1" t="e">
        <f>U37/D37-1</f>
        <v>#NUM!</v>
      </c>
      <c r="Y37" s="1"/>
      <c r="Z37" s="4" t="e">
        <f t="shared" si="2"/>
        <v>#NUM!</v>
      </c>
      <c r="AA37" s="4" t="e">
        <f t="shared" si="3"/>
        <v>#NUM!</v>
      </c>
    </row>
    <row r="38" spans="2:27" x14ac:dyDescent="0.2">
      <c r="C38" s="5">
        <f>Accuracy!F37</f>
        <v>0</v>
      </c>
      <c r="D38" s="5">
        <f>Accuracy!G37</f>
        <v>0</v>
      </c>
      <c r="G38" s="2" t="e">
        <f t="shared" si="4"/>
        <v>#NUM!</v>
      </c>
      <c r="H38" s="41" t="e">
        <f>(G38)/(C38)-1</f>
        <v>#NUM!</v>
      </c>
      <c r="I38" s="4" t="e">
        <f>G38-C38</f>
        <v>#NUM!</v>
      </c>
      <c r="K38" t="e">
        <f>LN(D38/$D$18)*(C38+273.15)*($C$18+273.15)/($C$18-C38)</f>
        <v>#NUM!</v>
      </c>
      <c r="L38" t="e">
        <f>$D$18*EXP(K38*($C$18-C38)/(($C$18+273.15)*(C38+273.15)))</f>
        <v>#NUM!</v>
      </c>
      <c r="O38" s="3" t="e">
        <f>$D$18*(1-Accuracy!$D$7)*EXP(K38*(1-Accuracy!$D$9)*($C$18-C38)/(($C$18+273.15)*(C38+273.15)))</f>
        <v>#NUM!</v>
      </c>
      <c r="P38" s="3" t="e">
        <f>$D$18*(1-Accuracy!$D$7)*EXP(K38*(1+Accuracy!$D$9)*($C$18-C38)/(($C$18+273.15)*(C38+273.15)))</f>
        <v>#NUM!</v>
      </c>
      <c r="Q38" s="3" t="e">
        <f>$D$18*(1+Accuracy!$D$7)*EXP(K38*(1-Accuracy!$D$9)*($C$18-C38)/(($C$18+273.15)*(C38+273.15)))</f>
        <v>#NUM!</v>
      </c>
      <c r="R38" s="3" t="e">
        <f>$D$18*(1+Accuracy!$D$7)*EXP(K38*(1+Accuracy!$D$9)*($C$18-C38)/(($C$18+273.15)*(C38+273.15)))</f>
        <v>#NUM!</v>
      </c>
      <c r="T38" s="3" t="e">
        <f>MIN(O38:R38)</f>
        <v>#NUM!</v>
      </c>
      <c r="U38" s="3" t="e">
        <f>MAX(O38:R38)</f>
        <v>#NUM!</v>
      </c>
      <c r="V38" s="3"/>
      <c r="W38" s="1" t="e">
        <f>T38/D38-1</f>
        <v>#NUM!</v>
      </c>
      <c r="X38" s="1" t="e">
        <f>U38/D38-1</f>
        <v>#NUM!</v>
      </c>
      <c r="Y38" s="1"/>
      <c r="Z38" s="4" t="e">
        <f t="shared" si="2"/>
        <v>#NUM!</v>
      </c>
      <c r="AA38" s="4" t="e">
        <f t="shared" si="3"/>
        <v>#NUM!</v>
      </c>
    </row>
    <row r="39" spans="2:27" x14ac:dyDescent="0.2">
      <c r="C39" s="5">
        <f>Accuracy!F38</f>
        <v>0</v>
      </c>
      <c r="D39" s="5">
        <f>Accuracy!G38</f>
        <v>0</v>
      </c>
      <c r="G39" s="2" t="e">
        <f t="shared" si="4"/>
        <v>#NUM!</v>
      </c>
      <c r="H39" s="41" t="e">
        <f>(G39)/(C39)-1</f>
        <v>#NUM!</v>
      </c>
      <c r="I39" s="4" t="e">
        <f>G39-C39</f>
        <v>#NUM!</v>
      </c>
      <c r="K39" t="e">
        <f>LN(D39/$D$18)*(C39+273.15)*($C$18+273.15)/($C$18-C39)</f>
        <v>#NUM!</v>
      </c>
      <c r="L39" t="e">
        <f>$D$18*EXP(K39*($C$18-C39)/(($C$18+273.15)*(C39+273.15)))</f>
        <v>#NUM!</v>
      </c>
      <c r="O39" s="3" t="e">
        <f>$D$18*(1-Accuracy!$D$7)*EXP(K39*(1-Accuracy!$D$9)*($C$18-C39)/(($C$18+273.15)*(C39+273.15)))</f>
        <v>#NUM!</v>
      </c>
      <c r="P39" s="3" t="e">
        <f>$D$18*(1-Accuracy!$D$7)*EXP(K39*(1+Accuracy!$D$9)*($C$18-C39)/(($C$18+273.15)*(C39+273.15)))</f>
        <v>#NUM!</v>
      </c>
      <c r="Q39" s="3" t="e">
        <f>$D$18*(1+Accuracy!$D$7)*EXP(K39*(1-Accuracy!$D$9)*($C$18-C39)/(($C$18+273.15)*(C39+273.15)))</f>
        <v>#NUM!</v>
      </c>
      <c r="R39" s="3" t="e">
        <f>$D$18*(1+Accuracy!$D$7)*EXP(K39*(1+Accuracy!$D$9)*($C$18-C39)/(($C$18+273.15)*(C39+273.15)))</f>
        <v>#NUM!</v>
      </c>
      <c r="T39" s="3" t="e">
        <f>MIN(O39:R39)</f>
        <v>#NUM!</v>
      </c>
      <c r="U39" s="3" t="e">
        <f>MAX(O39:R39)</f>
        <v>#NUM!</v>
      </c>
      <c r="V39" s="3"/>
      <c r="W39" s="1" t="e">
        <f>T39/D39-1</f>
        <v>#NUM!</v>
      </c>
      <c r="X39" s="1" t="e">
        <f>U39/D39-1</f>
        <v>#NUM!</v>
      </c>
      <c r="Y39" s="1"/>
      <c r="Z39" s="4" t="e">
        <f t="shared" si="2"/>
        <v>#NUM!</v>
      </c>
      <c r="AA39" s="4" t="e">
        <f t="shared" si="3"/>
        <v>#NUM!</v>
      </c>
    </row>
    <row r="40" spans="2:27" x14ac:dyDescent="0.2">
      <c r="C40" s="5">
        <f>Accuracy!F39</f>
        <v>0</v>
      </c>
      <c r="D40" s="5">
        <f>Accuracy!G39</f>
        <v>0</v>
      </c>
      <c r="G40" s="2" t="e">
        <f>1/($D$53+$E$53*LN(D40)+$F$53*LN(D40)^3)-273.15</f>
        <v>#NUM!</v>
      </c>
      <c r="H40" s="41" t="e">
        <f>(G40)/(C40)-1</f>
        <v>#NUM!</v>
      </c>
      <c r="I40" s="4" t="e">
        <f>G40-C40</f>
        <v>#NUM!</v>
      </c>
      <c r="K40" t="e">
        <f>LN(D40/$D$18)*(C40+273.15)*($C$18+273.15)/($C$18-C40)</f>
        <v>#NUM!</v>
      </c>
      <c r="L40" t="e">
        <f>$D$18*EXP(K40*($C$18-C40)/(($C$18+273.15)*(C40+273.15)))</f>
        <v>#NUM!</v>
      </c>
      <c r="O40" s="3" t="e">
        <f>$D$18*(1-Accuracy!$D$7)*EXP(K40*(1-Accuracy!$D$9)*($C$18-C40)/(($C$18+273.15)*(C40+273.15)))</f>
        <v>#NUM!</v>
      </c>
      <c r="P40" s="3" t="e">
        <f>$D$18*(1-Accuracy!$D$7)*EXP(K40*(1+Accuracy!$D$9)*($C$18-C40)/(($C$18+273.15)*(C40+273.15)))</f>
        <v>#NUM!</v>
      </c>
      <c r="Q40" s="3" t="e">
        <f>$D$18*(1+Accuracy!$D$7)*EXP(K40*(1-Accuracy!$D$9)*($C$18-C40)/(($C$18+273.15)*(C40+273.15)))</f>
        <v>#NUM!</v>
      </c>
      <c r="R40" s="3" t="e">
        <f>$D$18*(1+Accuracy!$D$7)*EXP(K40*(1+Accuracy!$D$9)*($C$18-C40)/(($C$18+273.15)*(C40+273.15)))</f>
        <v>#NUM!</v>
      </c>
      <c r="T40" s="3" t="e">
        <f>MIN(O40:R40)</f>
        <v>#NUM!</v>
      </c>
      <c r="U40" s="3" t="e">
        <f>MAX(O40:R40)</f>
        <v>#NUM!</v>
      </c>
      <c r="V40" s="3"/>
      <c r="W40" s="1" t="e">
        <f>T40/D40-1</f>
        <v>#NUM!</v>
      </c>
      <c r="X40" s="1" t="e">
        <f>U40/D40-1</f>
        <v>#NUM!</v>
      </c>
      <c r="Y40" s="1"/>
      <c r="Z40" s="4" t="e">
        <f>-(1/($D$53+$E$53*LN(T40)+$F$53*LN(T40)^3)-273.15-C40)</f>
        <v>#NUM!</v>
      </c>
      <c r="AA40" s="4" t="e">
        <f>-(1/($D$53+$E$53*LN(U40)+$F$53*LN(U40)^3)-273.15-C40)</f>
        <v>#NUM!</v>
      </c>
    </row>
    <row r="41" spans="2:27" x14ac:dyDescent="0.2">
      <c r="C41" s="8"/>
      <c r="D41" s="8"/>
      <c r="G41" s="2"/>
      <c r="H41" s="1"/>
      <c r="I41" s="1"/>
      <c r="O41" s="3"/>
      <c r="P41" s="3"/>
      <c r="Q41" s="3"/>
      <c r="R41" s="3"/>
      <c r="T41" s="3"/>
      <c r="U41" s="3"/>
      <c r="V41" s="3"/>
      <c r="W41" s="1"/>
      <c r="X41" s="1"/>
      <c r="Y41" s="1"/>
      <c r="Z41" s="4"/>
      <c r="AA41" s="4"/>
    </row>
    <row r="42" spans="2:27" x14ac:dyDescent="0.2">
      <c r="C42" s="8"/>
      <c r="D42" s="8"/>
      <c r="G42" s="2"/>
      <c r="H42" s="1"/>
      <c r="I42" s="1"/>
      <c r="O42" s="3"/>
      <c r="P42" s="3"/>
      <c r="Q42" s="3"/>
      <c r="R42" s="3"/>
      <c r="T42" s="3"/>
      <c r="U42" s="3"/>
      <c r="V42" s="3"/>
      <c r="W42" s="1"/>
      <c r="X42" s="1"/>
      <c r="Y42" s="1"/>
      <c r="Z42" s="4"/>
      <c r="AA42" s="4"/>
    </row>
    <row r="43" spans="2:27" x14ac:dyDescent="0.2">
      <c r="C43" s="8"/>
      <c r="D43" s="8"/>
      <c r="G43" s="2"/>
      <c r="H43" s="1"/>
      <c r="I43" s="1"/>
      <c r="O43" s="3"/>
      <c r="P43" s="3"/>
      <c r="Q43" s="3"/>
      <c r="R43" s="3"/>
      <c r="T43" s="3"/>
      <c r="U43" s="3"/>
      <c r="V43" s="3"/>
      <c r="W43" s="1"/>
      <c r="X43" s="1"/>
      <c r="Y43" s="1"/>
      <c r="Z43" s="4"/>
      <c r="AA43" s="4"/>
    </row>
    <row r="44" spans="2:27" x14ac:dyDescent="0.2">
      <c r="C44" s="8"/>
      <c r="D44" s="8">
        <f>LOOKUP(Accuracy!D3,C5:C40,C5:C40)</f>
        <v>-40</v>
      </c>
      <c r="G44" s="2"/>
      <c r="H44" s="1"/>
      <c r="I44" s="1"/>
      <c r="O44" s="3"/>
      <c r="P44" s="3"/>
      <c r="Q44" s="3"/>
      <c r="R44" s="3"/>
      <c r="T44" s="3"/>
      <c r="U44" s="3"/>
      <c r="V44" s="3"/>
      <c r="W44" s="1"/>
      <c r="X44" s="1"/>
      <c r="Y44" s="1"/>
      <c r="Z44" s="4"/>
      <c r="AA44" s="4"/>
    </row>
    <row r="45" spans="2:27" x14ac:dyDescent="0.2">
      <c r="C45" s="8"/>
      <c r="D45" s="8"/>
      <c r="G45" s="2"/>
      <c r="H45" s="1"/>
      <c r="I45" s="1"/>
      <c r="O45" s="3"/>
      <c r="P45" s="3"/>
      <c r="Q45" s="3"/>
      <c r="R45" s="3"/>
      <c r="T45" s="3"/>
      <c r="U45" s="3"/>
      <c r="V45" s="3"/>
      <c r="W45" s="1"/>
      <c r="X45" s="1"/>
      <c r="Y45" s="1"/>
      <c r="Z45" s="4"/>
      <c r="AA45" s="4"/>
    </row>
    <row r="46" spans="2:27" ht="13.5" thickBot="1" x14ac:dyDescent="0.25"/>
    <row r="47" spans="2:27" x14ac:dyDescent="0.2">
      <c r="B47" s="31"/>
      <c r="C47" s="17"/>
      <c r="D47" s="17" t="s">
        <v>8</v>
      </c>
      <c r="E47" s="17" t="s">
        <v>9</v>
      </c>
      <c r="F47" s="17" t="s">
        <v>19</v>
      </c>
      <c r="G47" s="18" t="s">
        <v>14</v>
      </c>
    </row>
    <row r="48" spans="2:27" x14ac:dyDescent="0.2">
      <c r="B48" s="19">
        <v>1</v>
      </c>
      <c r="C48" s="20" t="s">
        <v>5</v>
      </c>
      <c r="D48" s="5">
        <f>LOOKUP(Accuracy!D3,C5:C40,C5:C40)+273.15</f>
        <v>233.14999999999998</v>
      </c>
      <c r="E48" s="20">
        <f>LOOKUP(D48-273.15,C5:C40,D5:D40)</f>
        <v>188500</v>
      </c>
      <c r="F48" s="20">
        <f>LN(E48)</f>
        <v>12.146853285870202</v>
      </c>
      <c r="G48" s="21">
        <f>1/D48</f>
        <v>4.2890842805061126E-3</v>
      </c>
    </row>
    <row r="49" spans="2:7" x14ac:dyDescent="0.2">
      <c r="B49" s="19">
        <v>2</v>
      </c>
      <c r="C49" s="20" t="s">
        <v>6</v>
      </c>
      <c r="D49" s="5">
        <f>273.15+C18</f>
        <v>298.14999999999998</v>
      </c>
      <c r="E49" s="20">
        <f>LOOKUP(D49-273.15,C5:C40,D5:D40)</f>
        <v>10000</v>
      </c>
      <c r="F49" s="20">
        <f>LN(E49)</f>
        <v>9.2103403719761836</v>
      </c>
      <c r="G49" s="21">
        <f>1/D49</f>
        <v>3.3540164346805303E-3</v>
      </c>
    </row>
    <row r="50" spans="2:7" x14ac:dyDescent="0.2">
      <c r="B50" s="19">
        <v>3</v>
      </c>
      <c r="C50" s="20" t="s">
        <v>7</v>
      </c>
      <c r="D50" s="5">
        <f>LOOKUP(Accuracy!D4,C5:C40,C5:C40)+273.15</f>
        <v>383.15</v>
      </c>
      <c r="E50" s="20">
        <f>LOOKUP(D50-273.15,C5:C40,D5:D40)</f>
        <v>757.6</v>
      </c>
      <c r="F50" s="20">
        <f>LN(E50)</f>
        <v>6.6301555418718685</v>
      </c>
      <c r="G50" s="21">
        <f>1/D50</f>
        <v>2.6099438862064468E-3</v>
      </c>
    </row>
    <row r="51" spans="2:7" x14ac:dyDescent="0.2">
      <c r="B51" s="19"/>
      <c r="C51" s="20"/>
      <c r="D51" s="20"/>
      <c r="E51" s="20"/>
      <c r="F51" s="20"/>
      <c r="G51" s="21"/>
    </row>
    <row r="52" spans="2:7" x14ac:dyDescent="0.2">
      <c r="B52" s="19" t="s">
        <v>13</v>
      </c>
      <c r="C52" s="20"/>
      <c r="D52" s="20" t="s">
        <v>12</v>
      </c>
      <c r="E52" s="20" t="s">
        <v>11</v>
      </c>
      <c r="F52" s="20" t="s">
        <v>10</v>
      </c>
      <c r="G52" s="21"/>
    </row>
    <row r="53" spans="2:7" x14ac:dyDescent="0.2">
      <c r="B53" s="19"/>
      <c r="C53" s="20"/>
      <c r="D53" s="30">
        <f>1/D48-E53*F48-F53*F48^3</f>
        <v>8.8619858527916187E-4</v>
      </c>
      <c r="E53" s="30">
        <f>(1/D50-1/D48-F53*(F50^3-F48^3))/(F50-F48)</f>
        <v>2.5143049170058365E-4</v>
      </c>
      <c r="F53" s="30">
        <f>((1/D49-1/D48)-(1/D50-1/D48)*(F49-F48)/(F50-F48))/((F49^3-F48^3)-(F50^3-F48^3)/(F50-F48)*(F49-F48))</f>
        <v>1.9461693882716551E-7</v>
      </c>
      <c r="G53" s="21"/>
    </row>
    <row r="54" spans="2:7" x14ac:dyDescent="0.2">
      <c r="B54" s="19"/>
      <c r="C54" s="20"/>
      <c r="D54" s="30"/>
      <c r="E54" s="30"/>
      <c r="F54" s="30"/>
      <c r="G54" s="21"/>
    </row>
    <row r="55" spans="2:7" x14ac:dyDescent="0.2">
      <c r="B55" s="19"/>
      <c r="C55" s="20"/>
      <c r="D55" s="30"/>
      <c r="E55" s="30"/>
      <c r="F55" s="30"/>
      <c r="G55" s="21"/>
    </row>
    <row r="56" spans="2:7" ht="13.5" thickBot="1" x14ac:dyDescent="0.25">
      <c r="B56" s="22"/>
      <c r="C56" s="23"/>
      <c r="D56" s="32"/>
      <c r="E56" s="32"/>
      <c r="F56" s="32"/>
      <c r="G56" s="27"/>
    </row>
    <row r="57" spans="2:7" ht="13.5" thickBot="1" x14ac:dyDescent="0.25">
      <c r="B57" s="20"/>
      <c r="C57" s="20"/>
      <c r="D57" s="30"/>
      <c r="E57" s="30"/>
      <c r="F57" s="30"/>
      <c r="G57" s="20"/>
    </row>
    <row r="58" spans="2:7" x14ac:dyDescent="0.2">
      <c r="B58" s="31"/>
      <c r="C58" s="17"/>
      <c r="D58" s="17" t="s">
        <v>8</v>
      </c>
      <c r="E58" s="17" t="s">
        <v>9</v>
      </c>
      <c r="F58" s="17" t="s">
        <v>19</v>
      </c>
      <c r="G58" s="18" t="s">
        <v>14</v>
      </c>
    </row>
    <row r="59" spans="2:7" x14ac:dyDescent="0.2">
      <c r="B59" s="19">
        <v>1</v>
      </c>
      <c r="C59" s="20" t="s">
        <v>5</v>
      </c>
      <c r="D59" s="20">
        <f>Accuracy!D3+273.15</f>
        <v>233.14999999999998</v>
      </c>
      <c r="E59" s="20">
        <f>LOOKUP(D59-273.15,C5:C40,D5:D40)</f>
        <v>188500</v>
      </c>
      <c r="F59" s="20">
        <f>LN(E59)</f>
        <v>12.146853285870202</v>
      </c>
      <c r="G59" s="21">
        <f>1/D59</f>
        <v>4.2890842805061126E-3</v>
      </c>
    </row>
    <row r="60" spans="2:7" x14ac:dyDescent="0.2">
      <c r="B60" s="19">
        <v>2</v>
      </c>
      <c r="C60" s="20" t="s">
        <v>17</v>
      </c>
      <c r="D60" s="20">
        <f>LOOKUP((D62-D59)/3+D59-273.15,C5:C40)+273.15</f>
        <v>283.14999999999998</v>
      </c>
      <c r="E60" s="20">
        <f>LOOKUP(D60-273.15,C5:C40,D5:D40)</f>
        <v>17960</v>
      </c>
      <c r="F60" s="20">
        <f>LN(E60)</f>
        <v>9.7959023418561912</v>
      </c>
      <c r="G60" s="21">
        <f>1/D60</f>
        <v>3.5316969803990822E-3</v>
      </c>
    </row>
    <row r="61" spans="2:7" x14ac:dyDescent="0.2">
      <c r="B61" s="19">
        <v>3</v>
      </c>
      <c r="C61" s="20" t="s">
        <v>18</v>
      </c>
      <c r="D61" s="20">
        <f>LOOKUP((D62-D59)/3*2+D59-273.15,C5:C40)+273.15</f>
        <v>333.15</v>
      </c>
      <c r="E61" s="20">
        <f>LOOKUP(D61-273.15,C5:C40,D5:D40)</f>
        <v>3020</v>
      </c>
      <c r="F61" s="20">
        <f>LN(E61)</f>
        <v>8.0130121103689156</v>
      </c>
      <c r="G61" s="21">
        <f>1/D61</f>
        <v>3.0016509079993999E-3</v>
      </c>
    </row>
    <row r="62" spans="2:7" x14ac:dyDescent="0.2">
      <c r="B62" s="19">
        <v>4</v>
      </c>
      <c r="C62" s="20" t="s">
        <v>7</v>
      </c>
      <c r="D62" s="20">
        <f>Accuracy!D4+273.15</f>
        <v>383.15</v>
      </c>
      <c r="E62" s="20">
        <f>LOOKUP(D62-273.15,C5:C40,D5:D40)</f>
        <v>757.6</v>
      </c>
      <c r="F62" s="20">
        <f>LN(E62)</f>
        <v>6.6301555418718685</v>
      </c>
      <c r="G62" s="21">
        <f>1/D62</f>
        <v>2.6099438862064468E-3</v>
      </c>
    </row>
    <row r="63" spans="2:7" x14ac:dyDescent="0.2">
      <c r="B63" s="19"/>
      <c r="C63" s="20"/>
      <c r="D63" s="20"/>
      <c r="E63" s="20"/>
      <c r="F63" s="20"/>
      <c r="G63" s="21"/>
    </row>
    <row r="64" spans="2:7" x14ac:dyDescent="0.2">
      <c r="B64" s="19" t="s">
        <v>15</v>
      </c>
      <c r="C64" s="20"/>
      <c r="D64" s="20" t="s">
        <v>12</v>
      </c>
      <c r="E64" s="20" t="s">
        <v>11</v>
      </c>
      <c r="F64" s="20" t="s">
        <v>10</v>
      </c>
      <c r="G64" s="21" t="s">
        <v>16</v>
      </c>
    </row>
    <row r="65" spans="2:7" x14ac:dyDescent="0.2">
      <c r="B65" s="19"/>
      <c r="C65" s="20"/>
      <c r="D65" s="20">
        <f>F59-E65*G59-F65*G59^2-G65*G59^3</f>
        <v>-4.2212787388670945</v>
      </c>
      <c r="E65" s="20">
        <f>((F60-F59)-F65*(G60^2-G59^2)-G65*(G60^3-G59^3))/(G60-G59)</f>
        <v>4681.1673781125437</v>
      </c>
      <c r="F65" s="20">
        <f>((F61-F59)-(F60-F59)*(G61-G59)/(G60-G59)-G65*((G61^3-G59^3)-(G60^3-G59^3)*(G61-G59)/(G60-G59)))/((G61^2-G59^2)-(G60^2-G59^2)*(G61-G59)/(G60-G59))</f>
        <v>-201660.15102412525</v>
      </c>
      <c r="G65" s="21">
        <f>((F62-F59)-(F60-F59)*(G62-G59)/(G60-G59)-((F61-F59)-(F60-F59)*(G61-G59)/(G60-G59))*((G62^2-G59^2)-(G60^2-G59^2)*(G62-G59)/(G60-G59))/((G61^2-G59^2)-(G60^2-G59^2)*(G61-G59)/(G60-G59)))/((G62^3-G59^3)-(G60^3-G59^3)*(G62-G59)/(G60-G59)-((G61^3-G59^3)-(G60^3-G59^3)*(G61-G59)/(G60-G59))/((G61^2-G59^2)-(G60^2-G59^2)*(G61-G59)/(G60-G59)))</f>
        <v>-0.69486896708829049</v>
      </c>
    </row>
    <row r="66" spans="2:7" x14ac:dyDescent="0.2">
      <c r="B66" s="19"/>
      <c r="C66" s="20"/>
      <c r="D66" s="20"/>
      <c r="E66" s="20"/>
      <c r="F66" s="20"/>
      <c r="G66" s="21"/>
    </row>
    <row r="67" spans="2:7" x14ac:dyDescent="0.2">
      <c r="B67" s="19"/>
      <c r="C67" s="20"/>
      <c r="D67" s="20"/>
      <c r="E67" s="20"/>
      <c r="F67" s="20"/>
      <c r="G67" s="21"/>
    </row>
    <row r="68" spans="2:7" ht="13.5" thickBot="1" x14ac:dyDescent="0.25">
      <c r="B68" s="22"/>
      <c r="C68" s="23"/>
      <c r="D68" s="23"/>
      <c r="E68" s="23"/>
      <c r="F68" s="23"/>
      <c r="G68" s="27"/>
    </row>
  </sheetData>
  <phoneticPr fontId="1" type="noConversion"/>
  <pageMargins left="0.75" right="0.75" top="1" bottom="1" header="0.5" footer="0.5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93" r:id="rId4">
          <objectPr defaultSize="0" r:id="rId5">
            <anchor moveWithCells="1">
              <from>
                <xdr:col>3</xdr:col>
                <xdr:colOff>28575</xdr:colOff>
                <xdr:row>53</xdr:row>
                <xdr:rowOff>28575</xdr:rowOff>
              </from>
              <to>
                <xdr:col>5</xdr:col>
                <xdr:colOff>523875</xdr:colOff>
                <xdr:row>55</xdr:row>
                <xdr:rowOff>95250</xdr:rowOff>
              </to>
            </anchor>
          </objectPr>
        </oleObject>
      </mc:Choice>
      <mc:Fallback>
        <oleObject progId="Equation.3" shapeId="1093" r:id="rId4"/>
      </mc:Fallback>
    </mc:AlternateContent>
    <mc:AlternateContent xmlns:mc="http://schemas.openxmlformats.org/markup-compatibility/2006">
      <mc:Choice Requires="x14">
        <oleObject progId="Equation.3" shapeId="1094" r:id="rId6">
          <objectPr defaultSize="0" r:id="rId7">
            <anchor moveWithCells="1">
              <from>
                <xdr:col>3</xdr:col>
                <xdr:colOff>28575</xdr:colOff>
                <xdr:row>65</xdr:row>
                <xdr:rowOff>66675</xdr:rowOff>
              </from>
              <to>
                <xdr:col>6</xdr:col>
                <xdr:colOff>209550</xdr:colOff>
                <xdr:row>67</xdr:row>
                <xdr:rowOff>133350</xdr:rowOff>
              </to>
            </anchor>
          </objectPr>
        </oleObject>
      </mc:Choice>
      <mc:Fallback>
        <oleObject progId="Equation.3" shapeId="1094" r:id="rId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C2:AS64"/>
  <sheetViews>
    <sheetView topLeftCell="D1" zoomScale="75" workbookViewId="0">
      <selection activeCell="AC5" sqref="AC5"/>
    </sheetView>
  </sheetViews>
  <sheetFormatPr defaultRowHeight="12.75" x14ac:dyDescent="0.2"/>
  <cols>
    <col min="29" max="29" width="10.28515625" customWidth="1"/>
    <col min="30" max="30" width="11.42578125" bestFit="1" customWidth="1"/>
    <col min="48" max="48" width="13.140625" bestFit="1" customWidth="1"/>
  </cols>
  <sheetData>
    <row r="2" spans="3:42" x14ac:dyDescent="0.2">
      <c r="I2" t="s">
        <v>2</v>
      </c>
      <c r="L2" t="s">
        <v>31</v>
      </c>
      <c r="M2" t="s">
        <v>31</v>
      </c>
      <c r="N2" t="s">
        <v>34</v>
      </c>
      <c r="O2" t="s">
        <v>34</v>
      </c>
      <c r="T2" t="s">
        <v>31</v>
      </c>
      <c r="U2" t="s">
        <v>31</v>
      </c>
      <c r="V2" t="s">
        <v>34</v>
      </c>
      <c r="W2" t="s">
        <v>34</v>
      </c>
    </row>
    <row r="3" spans="3:42" x14ac:dyDescent="0.2">
      <c r="I3" t="s">
        <v>4</v>
      </c>
      <c r="L3" t="s">
        <v>32</v>
      </c>
      <c r="M3" t="s">
        <v>33</v>
      </c>
      <c r="N3" t="s">
        <v>32</v>
      </c>
      <c r="O3" t="s">
        <v>33</v>
      </c>
      <c r="T3" t="s">
        <v>32</v>
      </c>
      <c r="U3" t="s">
        <v>33</v>
      </c>
      <c r="V3" t="s">
        <v>32</v>
      </c>
      <c r="W3" t="s">
        <v>33</v>
      </c>
    </row>
    <row r="4" spans="3:42" x14ac:dyDescent="0.2">
      <c r="C4" s="5" t="s">
        <v>4</v>
      </c>
      <c r="D4" s="5" t="s">
        <v>37</v>
      </c>
      <c r="E4" s="5" t="str">
        <f>Thermistor!T4</f>
        <v>Therm Min</v>
      </c>
      <c r="F4" s="5" t="str">
        <f>Thermistor!U4</f>
        <v>Therm Max</v>
      </c>
      <c r="G4" s="8"/>
      <c r="H4" s="8"/>
      <c r="I4" s="8" t="s">
        <v>67</v>
      </c>
      <c r="K4" t="s">
        <v>80</v>
      </c>
      <c r="P4" t="s">
        <v>81</v>
      </c>
      <c r="Q4" t="s">
        <v>82</v>
      </c>
      <c r="S4" t="s">
        <v>83</v>
      </c>
      <c r="X4" t="s">
        <v>84</v>
      </c>
      <c r="Y4" t="s">
        <v>85</v>
      </c>
      <c r="AB4" t="s">
        <v>38</v>
      </c>
      <c r="AC4" t="s">
        <v>39</v>
      </c>
      <c r="AD4" t="s">
        <v>40</v>
      </c>
    </row>
    <row r="5" spans="3:42" x14ac:dyDescent="0.2">
      <c r="C5" s="5">
        <f>Accuracy!F4</f>
        <v>-40</v>
      </c>
      <c r="D5" s="5">
        <f>Accuracy!G4</f>
        <v>188500</v>
      </c>
      <c r="E5" s="6">
        <f>Thermistor!T5</f>
        <v>181214.70466617928</v>
      </c>
      <c r="F5" s="6">
        <f>Thermistor!U5</f>
        <v>196058.57505023337</v>
      </c>
      <c r="G5" s="34"/>
      <c r="H5" s="34">
        <v>0</v>
      </c>
      <c r="I5" s="34">
        <f t="shared" ref="I5:I40" si="0">$I$42+H5*$I$44</f>
        <v>-40</v>
      </c>
      <c r="K5">
        <f>Accuracy!$D$12</f>
        <v>18000</v>
      </c>
      <c r="L5" s="3">
        <f>Accuracy!$D$12*(1-Accuracy!$D$14)*(1-Accuracy!$D$16*('Resistor Network'!I5-25))</f>
        <v>17820</v>
      </c>
      <c r="M5" s="3">
        <f>Accuracy!$D$12*(1-Accuracy!$D$14)*(1+Accuracy!$D$16*('Resistor Network'!I5-25))</f>
        <v>17820</v>
      </c>
      <c r="N5" s="3">
        <f>Accuracy!$D$12*(1+Accuracy!$D$14)*(1-Accuracy!$D$16*('Resistor Network'!I5-25))</f>
        <v>18180</v>
      </c>
      <c r="O5" s="3">
        <f>Accuracy!$D$12*(1+Accuracy!$D$14)*(1+Accuracy!$D$16*('Resistor Network'!I5-25))</f>
        <v>18180</v>
      </c>
      <c r="P5" s="3">
        <f>MINA(L5:O5)</f>
        <v>17820</v>
      </c>
      <c r="Q5" s="3">
        <f>MAX(L5:O5)</f>
        <v>18180</v>
      </c>
      <c r="S5">
        <f>Accuracy!$D$19</f>
        <v>0</v>
      </c>
      <c r="T5" s="3">
        <f>Accuracy!$D$19*(1-Accuracy!$D$21)*(1-Accuracy!$D$23*('Resistor Network'!I5-25))</f>
        <v>0</v>
      </c>
      <c r="U5" s="3">
        <f>Accuracy!$D$19*(1-Accuracy!$D$21)*(1+Accuracy!$D$23*('Resistor Network'!I5-25))</f>
        <v>0</v>
      </c>
      <c r="V5" s="3">
        <f>Accuracy!$D$19*(1+Accuracy!$D$21)*(1-Accuracy!$D$23*('Resistor Network'!I5-25))</f>
        <v>0</v>
      </c>
      <c r="W5" s="3">
        <f>Accuracy!$D$19*(1-Accuracy!$D$21)*(1+Accuracy!$D$23*('Resistor Network'!I5-25))</f>
        <v>0</v>
      </c>
      <c r="X5" s="3">
        <f>MINA(T5:W5)</f>
        <v>0</v>
      </c>
      <c r="Y5" s="3">
        <f>MAX(T5:W5)</f>
        <v>0</v>
      </c>
      <c r="AB5" s="2">
        <f>(D5+S5)/(D5+S5+K5)</f>
        <v>0.9128329297820823</v>
      </c>
      <c r="AC5" s="2">
        <f>(E5+X5)/(E5+X5+Q5)</f>
        <v>0.90882405813917466</v>
      </c>
      <c r="AD5" s="2">
        <f>(F5+Y5)/(F5+Y5+P5)</f>
        <v>0.91668169663177046</v>
      </c>
      <c r="AE5" s="2"/>
      <c r="AF5" s="2"/>
      <c r="AH5" s="1"/>
      <c r="AI5" s="7"/>
      <c r="AJ5" s="1"/>
      <c r="AL5" s="3"/>
      <c r="AM5" s="3"/>
      <c r="AN5" s="3"/>
      <c r="AP5" s="2"/>
    </row>
    <row r="6" spans="3:42" x14ac:dyDescent="0.2">
      <c r="C6" s="5">
        <f>Accuracy!F5</f>
        <v>-35</v>
      </c>
      <c r="D6" s="5">
        <f>Accuracy!G5</f>
        <v>144100</v>
      </c>
      <c r="E6" s="6">
        <f>Thermistor!T6</f>
        <v>138903.2910371857</v>
      </c>
      <c r="F6" s="6">
        <f>Thermistor!U6</f>
        <v>149476.18133426114</v>
      </c>
      <c r="G6" s="34"/>
      <c r="H6" s="34">
        <v>1</v>
      </c>
      <c r="I6" s="34">
        <f t="shared" si="0"/>
        <v>-38.666666666666664</v>
      </c>
      <c r="K6">
        <f>Accuracy!$D$12</f>
        <v>18000</v>
      </c>
      <c r="L6" s="3">
        <f>Accuracy!$D$12*(1-Accuracy!$D$14)*(1-Accuracy!$D$16*('Resistor Network'!I6-25))</f>
        <v>17820</v>
      </c>
      <c r="M6" s="3">
        <f>Accuracy!$D$12*(1-Accuracy!$D$14)*(1+Accuracy!$D$16*('Resistor Network'!I6-25))</f>
        <v>17820</v>
      </c>
      <c r="N6" s="3">
        <f>Accuracy!$D$12*(1+Accuracy!$D$14)*(1-Accuracy!$D$16*('Resistor Network'!I6-25))</f>
        <v>18180</v>
      </c>
      <c r="O6" s="3">
        <f>Accuracy!$D$12*(1+Accuracy!$D$14)*(1+Accuracy!$D$16*('Resistor Network'!I6-25))</f>
        <v>18180</v>
      </c>
      <c r="P6" s="3">
        <f t="shared" ref="P6:P40" si="1">MINA(L6:O6)</f>
        <v>17820</v>
      </c>
      <c r="Q6" s="3">
        <f t="shared" ref="Q6:Q40" si="2">MAX(L6:O6)</f>
        <v>18180</v>
      </c>
      <c r="S6">
        <f>Accuracy!$D$19</f>
        <v>0</v>
      </c>
      <c r="T6" s="3">
        <f>Accuracy!$D$19*(1-Accuracy!$D$21)*(1-Accuracy!$D$23*('Resistor Network'!I6-25))</f>
        <v>0</v>
      </c>
      <c r="U6" s="3">
        <f>Accuracy!$D$19*(1-Accuracy!$D$21)*(1+Accuracy!$D$23*('Resistor Network'!I6-25))</f>
        <v>0</v>
      </c>
      <c r="V6" s="3">
        <f>Accuracy!$D$19*(1+Accuracy!$D$21)*(1-Accuracy!$D$23*('Resistor Network'!I6-25))</f>
        <v>0</v>
      </c>
      <c r="W6" s="3">
        <f>Accuracy!$D$19*(1-Accuracy!$D$21)*(1+Accuracy!$D$23*('Resistor Network'!I6-25))</f>
        <v>0</v>
      </c>
      <c r="X6" s="3">
        <f t="shared" ref="X6:X35" si="3">MINA(T6:W6)</f>
        <v>0</v>
      </c>
      <c r="Y6" s="3">
        <f t="shared" ref="Y6:Y35" si="4">MAX(T6:W6)</f>
        <v>0</v>
      </c>
      <c r="AB6" s="2">
        <f t="shared" ref="AB6:AB34" si="5">(D6+S6)/(D6+S6+K6)</f>
        <v>0.8889574336829118</v>
      </c>
      <c r="AC6" s="2">
        <f t="shared" ref="AC6:AC35" si="6">(E6+X6)/(E6+X6+Q6)</f>
        <v>0.88426522082672487</v>
      </c>
      <c r="AD6" s="2">
        <f t="shared" ref="AD6:AD35" si="7">(F6+Y6)/(F6+Y6+P6)</f>
        <v>0.89348232662647997</v>
      </c>
      <c r="AE6" s="2"/>
      <c r="AF6" s="2"/>
      <c r="AH6" s="1"/>
      <c r="AI6" s="7"/>
      <c r="AJ6" s="1"/>
      <c r="AL6" s="3"/>
      <c r="AM6" s="3"/>
      <c r="AN6" s="3"/>
      <c r="AP6" s="2"/>
    </row>
    <row r="7" spans="3:42" x14ac:dyDescent="0.2">
      <c r="C7" s="5">
        <f>Accuracy!F6</f>
        <v>-30</v>
      </c>
      <c r="D7" s="5">
        <f>Accuracy!G6</f>
        <v>111300</v>
      </c>
      <c r="E7" s="6">
        <f>Thermistor!T7</f>
        <v>107563.61938761154</v>
      </c>
      <c r="F7" s="6">
        <f>Thermistor!U7</f>
        <v>115154.6526745695</v>
      </c>
      <c r="G7" s="34"/>
      <c r="H7" s="34">
        <v>2</v>
      </c>
      <c r="I7" s="34">
        <f t="shared" si="0"/>
        <v>-37.333333333333336</v>
      </c>
      <c r="K7">
        <f>Accuracy!$D$12</f>
        <v>18000</v>
      </c>
      <c r="L7" s="3">
        <f>Accuracy!$D$12*(1-Accuracy!$D$14)*(1-Accuracy!$D$16*('Resistor Network'!I7-25))</f>
        <v>17820</v>
      </c>
      <c r="M7" s="3">
        <f>Accuracy!$D$12*(1-Accuracy!$D$14)*(1+Accuracy!$D$16*('Resistor Network'!I7-25))</f>
        <v>17820</v>
      </c>
      <c r="N7" s="3">
        <f>Accuracy!$D$12*(1+Accuracy!$D$14)*(1-Accuracy!$D$16*('Resistor Network'!I7-25))</f>
        <v>18180</v>
      </c>
      <c r="O7" s="3">
        <f>Accuracy!$D$12*(1+Accuracy!$D$14)*(1+Accuracy!$D$16*('Resistor Network'!I7-25))</f>
        <v>18180</v>
      </c>
      <c r="P7" s="3">
        <f t="shared" si="1"/>
        <v>17820</v>
      </c>
      <c r="Q7" s="3">
        <f t="shared" si="2"/>
        <v>18180</v>
      </c>
      <c r="S7">
        <f>Accuracy!$D$19</f>
        <v>0</v>
      </c>
      <c r="T7" s="3">
        <f>Accuracy!$D$19*(1-Accuracy!$D$21)*(1-Accuracy!$D$23*('Resistor Network'!I7-25))</f>
        <v>0</v>
      </c>
      <c r="U7" s="3">
        <f>Accuracy!$D$19*(1-Accuracy!$D$21)*(1+Accuracy!$D$23*('Resistor Network'!I7-25))</f>
        <v>0</v>
      </c>
      <c r="V7" s="3">
        <f>Accuracy!$D$19*(1+Accuracy!$D$21)*(1-Accuracy!$D$23*('Resistor Network'!I7-25))</f>
        <v>0</v>
      </c>
      <c r="W7" s="3">
        <f>Accuracy!$D$19*(1-Accuracy!$D$21)*(1+Accuracy!$D$23*('Resistor Network'!I7-25))</f>
        <v>0</v>
      </c>
      <c r="X7" s="3">
        <f t="shared" si="3"/>
        <v>0</v>
      </c>
      <c r="Y7" s="3">
        <f t="shared" si="4"/>
        <v>0</v>
      </c>
      <c r="AB7" s="2">
        <f t="shared" si="5"/>
        <v>0.86078886310904867</v>
      </c>
      <c r="AC7" s="2">
        <f t="shared" si="6"/>
        <v>0.85542009933753249</v>
      </c>
      <c r="AD7" s="2">
        <f t="shared" si="7"/>
        <v>0.8659894976856144</v>
      </c>
      <c r="AE7" s="2"/>
      <c r="AF7" s="2"/>
      <c r="AH7" s="1"/>
      <c r="AI7" s="7"/>
      <c r="AJ7" s="1"/>
      <c r="AL7" s="3"/>
      <c r="AM7" s="3"/>
      <c r="AN7" s="3"/>
      <c r="AP7" s="2"/>
    </row>
    <row r="8" spans="3:42" x14ac:dyDescent="0.2">
      <c r="C8" s="5">
        <f>Accuracy!F7</f>
        <v>-25</v>
      </c>
      <c r="D8" s="5">
        <f>Accuracy!G7</f>
        <v>86430</v>
      </c>
      <c r="E8" s="6">
        <f>Thermistor!T8</f>
        <v>83740.020421872512</v>
      </c>
      <c r="F8" s="6">
        <f>Thermistor!U8</f>
        <v>89197.469117872679</v>
      </c>
      <c r="G8" s="34"/>
      <c r="H8" s="34">
        <v>3</v>
      </c>
      <c r="I8" s="34">
        <f t="shared" si="0"/>
        <v>-36</v>
      </c>
      <c r="K8">
        <f>Accuracy!$D$12</f>
        <v>18000</v>
      </c>
      <c r="L8" s="3">
        <f>Accuracy!$D$12*(1-Accuracy!$D$14)*(1-Accuracy!$D$16*('Resistor Network'!I8-25))</f>
        <v>17820</v>
      </c>
      <c r="M8" s="3">
        <f>Accuracy!$D$12*(1-Accuracy!$D$14)*(1+Accuracy!$D$16*('Resistor Network'!I8-25))</f>
        <v>17820</v>
      </c>
      <c r="N8" s="3">
        <f>Accuracy!$D$12*(1+Accuracy!$D$14)*(1-Accuracy!$D$16*('Resistor Network'!I8-25))</f>
        <v>18180</v>
      </c>
      <c r="O8" s="3">
        <f>Accuracy!$D$12*(1+Accuracy!$D$14)*(1+Accuracy!$D$16*('Resistor Network'!I8-25))</f>
        <v>18180</v>
      </c>
      <c r="P8" s="3">
        <f t="shared" si="1"/>
        <v>17820</v>
      </c>
      <c r="Q8" s="3">
        <f t="shared" si="2"/>
        <v>18180</v>
      </c>
      <c r="S8">
        <f>Accuracy!$D$19</f>
        <v>0</v>
      </c>
      <c r="T8" s="3">
        <f>Accuracy!$D$19*(1-Accuracy!$D$21)*(1-Accuracy!$D$23*('Resistor Network'!I8-25))</f>
        <v>0</v>
      </c>
      <c r="U8" s="3">
        <f>Accuracy!$D$19*(1-Accuracy!$D$21)*(1+Accuracy!$D$23*('Resistor Network'!I8-25))</f>
        <v>0</v>
      </c>
      <c r="V8" s="3">
        <f>Accuracy!$D$19*(1+Accuracy!$D$21)*(1-Accuracy!$D$23*('Resistor Network'!I8-25))</f>
        <v>0</v>
      </c>
      <c r="W8" s="3">
        <f>Accuracy!$D$19*(1-Accuracy!$D$21)*(1+Accuracy!$D$23*('Resistor Network'!I8-25))</f>
        <v>0</v>
      </c>
      <c r="X8" s="3">
        <f t="shared" si="3"/>
        <v>0</v>
      </c>
      <c r="Y8" s="3">
        <f t="shared" si="4"/>
        <v>0</v>
      </c>
      <c r="AB8" s="2">
        <f t="shared" si="5"/>
        <v>0.82763573685722491</v>
      </c>
      <c r="AC8" s="2">
        <f t="shared" si="6"/>
        <v>0.82162483950897558</v>
      </c>
      <c r="AD8" s="2">
        <f t="shared" si="7"/>
        <v>0.83348512960652765</v>
      </c>
      <c r="AE8" s="2"/>
      <c r="AF8" s="2"/>
      <c r="AH8" s="1"/>
      <c r="AI8" s="7"/>
      <c r="AJ8" s="1"/>
      <c r="AL8" s="3"/>
      <c r="AM8" s="3"/>
      <c r="AN8" s="3"/>
      <c r="AP8" s="2"/>
    </row>
    <row r="9" spans="3:42" x14ac:dyDescent="0.2">
      <c r="C9" s="5">
        <f>Accuracy!F8</f>
        <v>-20</v>
      </c>
      <c r="D9" s="5">
        <f>Accuracy!G8</f>
        <v>67770</v>
      </c>
      <c r="E9" s="6">
        <f>Thermistor!T9</f>
        <v>65820.671006581018</v>
      </c>
      <c r="F9" s="6">
        <f>Thermistor!U9</f>
        <v>69770.082141077582</v>
      </c>
      <c r="G9" s="34"/>
      <c r="H9" s="34">
        <v>4</v>
      </c>
      <c r="I9" s="34">
        <f t="shared" si="0"/>
        <v>-34.666666666666664</v>
      </c>
      <c r="K9">
        <f>Accuracy!$D$12</f>
        <v>18000</v>
      </c>
      <c r="L9" s="3">
        <f>Accuracy!$D$12*(1-Accuracy!$D$14)*(1-Accuracy!$D$16*('Resistor Network'!I9-25))</f>
        <v>17820</v>
      </c>
      <c r="M9" s="3">
        <f>Accuracy!$D$12*(1-Accuracy!$D$14)*(1+Accuracy!$D$16*('Resistor Network'!I9-25))</f>
        <v>17820</v>
      </c>
      <c r="N9" s="3">
        <f>Accuracy!$D$12*(1+Accuracy!$D$14)*(1-Accuracy!$D$16*('Resistor Network'!I9-25))</f>
        <v>18180</v>
      </c>
      <c r="O9" s="3">
        <f>Accuracy!$D$12*(1+Accuracy!$D$14)*(1+Accuracy!$D$16*('Resistor Network'!I9-25))</f>
        <v>18180</v>
      </c>
      <c r="P9" s="3">
        <f t="shared" si="1"/>
        <v>17820</v>
      </c>
      <c r="Q9" s="3">
        <f t="shared" si="2"/>
        <v>18180</v>
      </c>
      <c r="S9">
        <f>Accuracy!$D$19</f>
        <v>0</v>
      </c>
      <c r="T9" s="3">
        <f>Accuracy!$D$19*(1-Accuracy!$D$21)*(1-Accuracy!$D$23*('Resistor Network'!I9-25))</f>
        <v>0</v>
      </c>
      <c r="U9" s="3">
        <f>Accuracy!$D$19*(1-Accuracy!$D$21)*(1+Accuracy!$D$23*('Resistor Network'!I9-25))</f>
        <v>0</v>
      </c>
      <c r="V9" s="3">
        <f>Accuracy!$D$19*(1+Accuracy!$D$21)*(1-Accuracy!$D$23*('Resistor Network'!I9-25))</f>
        <v>0</v>
      </c>
      <c r="W9" s="3">
        <f>Accuracy!$D$19*(1-Accuracy!$D$21)*(1+Accuracy!$D$23*('Resistor Network'!I9-25))</f>
        <v>0</v>
      </c>
      <c r="X9" s="3">
        <f t="shared" si="3"/>
        <v>0</v>
      </c>
      <c r="Y9" s="3">
        <f t="shared" si="4"/>
        <v>0</v>
      </c>
      <c r="AB9" s="2">
        <f t="shared" si="5"/>
        <v>0.79013641133263379</v>
      </c>
      <c r="AC9" s="2">
        <f t="shared" si="6"/>
        <v>0.78357315742661515</v>
      </c>
      <c r="AD9" s="2">
        <f t="shared" si="7"/>
        <v>0.79655230861299919</v>
      </c>
      <c r="AE9" s="2"/>
      <c r="AF9" s="2"/>
      <c r="AH9" s="1"/>
      <c r="AI9" s="7"/>
      <c r="AJ9" s="1"/>
      <c r="AL9" s="3"/>
      <c r="AM9" s="3"/>
      <c r="AN9" s="3"/>
      <c r="AP9" s="2"/>
    </row>
    <row r="10" spans="3:42" x14ac:dyDescent="0.2">
      <c r="C10" s="5">
        <f>Accuracy!F9</f>
        <v>-15</v>
      </c>
      <c r="D10" s="5">
        <f>Accuracy!G9</f>
        <v>53410</v>
      </c>
      <c r="E10" s="6">
        <f>Thermistor!T10</f>
        <v>51997.390232456535</v>
      </c>
      <c r="F10" s="6">
        <f>Thermistor!U10</f>
        <v>54855.499947948971</v>
      </c>
      <c r="G10" s="34"/>
      <c r="H10" s="34">
        <v>5</v>
      </c>
      <c r="I10" s="34">
        <f t="shared" si="0"/>
        <v>-33.333333333333336</v>
      </c>
      <c r="K10">
        <f>Accuracy!$D$12</f>
        <v>18000</v>
      </c>
      <c r="L10" s="3">
        <f>Accuracy!$D$12*(1-Accuracy!$D$14)*(1-Accuracy!$D$16*('Resistor Network'!I10-25))</f>
        <v>17820</v>
      </c>
      <c r="M10" s="3">
        <f>Accuracy!$D$12*(1-Accuracy!$D$14)*(1+Accuracy!$D$16*('Resistor Network'!I10-25))</f>
        <v>17820</v>
      </c>
      <c r="N10" s="3">
        <f>Accuracy!$D$12*(1+Accuracy!$D$14)*(1-Accuracy!$D$16*('Resistor Network'!I10-25))</f>
        <v>18180</v>
      </c>
      <c r="O10" s="3">
        <f>Accuracy!$D$12*(1+Accuracy!$D$14)*(1+Accuracy!$D$16*('Resistor Network'!I10-25))</f>
        <v>18180</v>
      </c>
      <c r="P10" s="3">
        <f t="shared" si="1"/>
        <v>17820</v>
      </c>
      <c r="Q10" s="3">
        <f t="shared" si="2"/>
        <v>18180</v>
      </c>
      <c r="S10">
        <f>Accuracy!$D$19</f>
        <v>0</v>
      </c>
      <c r="T10" s="3">
        <f>Accuracy!$D$19*(1-Accuracy!$D$21)*(1-Accuracy!$D$23*('Resistor Network'!I10-25))</f>
        <v>0</v>
      </c>
      <c r="U10" s="3">
        <f>Accuracy!$D$19*(1-Accuracy!$D$21)*(1+Accuracy!$D$23*('Resistor Network'!I10-25))</f>
        <v>0</v>
      </c>
      <c r="V10" s="3">
        <f>Accuracy!$D$19*(1+Accuracy!$D$21)*(1-Accuracy!$D$23*('Resistor Network'!I10-25))</f>
        <v>0</v>
      </c>
      <c r="W10" s="3">
        <f>Accuracy!$D$19*(1-Accuracy!$D$21)*(1+Accuracy!$D$23*('Resistor Network'!I10-25))</f>
        <v>0</v>
      </c>
      <c r="X10" s="3">
        <f t="shared" si="3"/>
        <v>0</v>
      </c>
      <c r="Y10" s="3">
        <f t="shared" si="4"/>
        <v>0</v>
      </c>
      <c r="AB10" s="2">
        <f t="shared" si="5"/>
        <v>0.74793446296036969</v>
      </c>
      <c r="AC10" s="2">
        <f t="shared" si="6"/>
        <v>0.74094220460777582</v>
      </c>
      <c r="AD10" s="2">
        <f t="shared" si="7"/>
        <v>0.75480044839371063</v>
      </c>
      <c r="AE10" s="2"/>
      <c r="AF10" s="2"/>
      <c r="AH10" s="1"/>
      <c r="AI10" s="7"/>
      <c r="AJ10" s="1"/>
      <c r="AL10" s="3"/>
      <c r="AM10" s="3"/>
      <c r="AN10" s="3"/>
      <c r="AP10" s="2"/>
    </row>
    <row r="11" spans="3:42" x14ac:dyDescent="0.2">
      <c r="C11" s="5">
        <f>Accuracy!F10</f>
        <v>-10</v>
      </c>
      <c r="D11" s="5">
        <f>Accuracy!G10</f>
        <v>42470</v>
      </c>
      <c r="E11" s="6">
        <f>Thermistor!T11</f>
        <v>41441.61130170097</v>
      </c>
      <c r="F11" s="6">
        <f>Thermistor!U11</f>
        <v>43519.556148049058</v>
      </c>
      <c r="G11" s="34"/>
      <c r="H11" s="34">
        <v>6</v>
      </c>
      <c r="I11" s="34">
        <f t="shared" si="0"/>
        <v>-32</v>
      </c>
      <c r="K11">
        <f>Accuracy!$D$12</f>
        <v>18000</v>
      </c>
      <c r="L11" s="3">
        <f>Accuracy!$D$12*(1-Accuracy!$D$14)*(1-Accuracy!$D$16*('Resistor Network'!I11-25))</f>
        <v>17820</v>
      </c>
      <c r="M11" s="3">
        <f>Accuracy!$D$12*(1-Accuracy!$D$14)*(1+Accuracy!$D$16*('Resistor Network'!I11-25))</f>
        <v>17820</v>
      </c>
      <c r="N11" s="3">
        <f>Accuracy!$D$12*(1+Accuracy!$D$14)*(1-Accuracy!$D$16*('Resistor Network'!I11-25))</f>
        <v>18180</v>
      </c>
      <c r="O11" s="3">
        <f>Accuracy!$D$12*(1+Accuracy!$D$14)*(1+Accuracy!$D$16*('Resistor Network'!I11-25))</f>
        <v>18180</v>
      </c>
      <c r="P11" s="3">
        <f t="shared" si="1"/>
        <v>17820</v>
      </c>
      <c r="Q11" s="3">
        <f t="shared" si="2"/>
        <v>18180</v>
      </c>
      <c r="S11">
        <f>Accuracy!$D$19</f>
        <v>0</v>
      </c>
      <c r="T11" s="3">
        <f>Accuracy!$D$19*(1-Accuracy!$D$21)*(1-Accuracy!$D$23*('Resistor Network'!I11-25))</f>
        <v>0</v>
      </c>
      <c r="U11" s="3">
        <f>Accuracy!$D$19*(1-Accuracy!$D$21)*(1+Accuracy!$D$23*('Resistor Network'!I11-25))</f>
        <v>0</v>
      </c>
      <c r="V11" s="3">
        <f>Accuracy!$D$19*(1+Accuracy!$D$21)*(1-Accuracy!$D$23*('Resistor Network'!I11-25))</f>
        <v>0</v>
      </c>
      <c r="W11" s="3">
        <f>Accuracy!$D$19*(1-Accuracy!$D$21)*(1+Accuracy!$D$23*('Resistor Network'!I11-25))</f>
        <v>0</v>
      </c>
      <c r="X11" s="3">
        <f t="shared" si="3"/>
        <v>0</v>
      </c>
      <c r="Y11" s="3">
        <f t="shared" si="4"/>
        <v>0</v>
      </c>
      <c r="AB11" s="2">
        <f t="shared" si="5"/>
        <v>0.70233173474450139</v>
      </c>
      <c r="AC11" s="2">
        <f t="shared" si="6"/>
        <v>0.69507700977747078</v>
      </c>
      <c r="AD11" s="2">
        <f t="shared" si="7"/>
        <v>0.70948599698064863</v>
      </c>
      <c r="AE11" s="2"/>
      <c r="AF11" s="2"/>
      <c r="AH11" s="1"/>
      <c r="AI11" s="7"/>
      <c r="AJ11" s="1"/>
      <c r="AL11" s="3"/>
      <c r="AM11" s="3"/>
      <c r="AN11" s="3"/>
      <c r="AP11" s="2"/>
    </row>
    <row r="12" spans="3:42" x14ac:dyDescent="0.2">
      <c r="C12" s="5">
        <f>Accuracy!F11</f>
        <v>-5</v>
      </c>
      <c r="D12" s="5">
        <f>Accuracy!G11</f>
        <v>33900</v>
      </c>
      <c r="E12" s="6">
        <f>Thermistor!T12</f>
        <v>33153.768132221601</v>
      </c>
      <c r="F12" s="6">
        <f>Thermistor!U12</f>
        <v>34659.561906123548</v>
      </c>
      <c r="G12" s="34"/>
      <c r="H12" s="34">
        <v>7</v>
      </c>
      <c r="I12" s="34">
        <f t="shared" si="0"/>
        <v>-30.666666666666668</v>
      </c>
      <c r="K12">
        <f>Accuracy!$D$12</f>
        <v>18000</v>
      </c>
      <c r="L12" s="3">
        <f>Accuracy!$D$12*(1-Accuracy!$D$14)*(1-Accuracy!$D$16*('Resistor Network'!I12-25))</f>
        <v>17820</v>
      </c>
      <c r="M12" s="3">
        <f>Accuracy!$D$12*(1-Accuracy!$D$14)*(1+Accuracy!$D$16*('Resistor Network'!I12-25))</f>
        <v>17820</v>
      </c>
      <c r="N12" s="3">
        <f>Accuracy!$D$12*(1+Accuracy!$D$14)*(1-Accuracy!$D$16*('Resistor Network'!I12-25))</f>
        <v>18180</v>
      </c>
      <c r="O12" s="3">
        <f>Accuracy!$D$12*(1+Accuracy!$D$14)*(1+Accuracy!$D$16*('Resistor Network'!I12-25))</f>
        <v>18180</v>
      </c>
      <c r="P12" s="3">
        <f t="shared" si="1"/>
        <v>17820</v>
      </c>
      <c r="Q12" s="3">
        <f t="shared" si="2"/>
        <v>18180</v>
      </c>
      <c r="S12">
        <f>Accuracy!$D$19</f>
        <v>0</v>
      </c>
      <c r="T12" s="3">
        <f>Accuracy!$D$19*(1-Accuracy!$D$21)*(1-Accuracy!$D$23*('Resistor Network'!I12-25))</f>
        <v>0</v>
      </c>
      <c r="U12" s="3">
        <f>Accuracy!$D$19*(1-Accuracy!$D$21)*(1+Accuracy!$D$23*('Resistor Network'!I12-25))</f>
        <v>0</v>
      </c>
      <c r="V12" s="3">
        <f>Accuracy!$D$19*(1+Accuracy!$D$21)*(1-Accuracy!$D$23*('Resistor Network'!I12-25))</f>
        <v>0</v>
      </c>
      <c r="W12" s="3">
        <f>Accuracy!$D$19*(1-Accuracy!$D$21)*(1+Accuracy!$D$23*('Resistor Network'!I12-25))</f>
        <v>0</v>
      </c>
      <c r="X12" s="3">
        <f t="shared" si="3"/>
        <v>0</v>
      </c>
      <c r="Y12" s="3">
        <f t="shared" si="4"/>
        <v>0</v>
      </c>
      <c r="AB12" s="2">
        <f t="shared" si="5"/>
        <v>0.65317919075144504</v>
      </c>
      <c r="AC12" s="2">
        <f t="shared" si="6"/>
        <v>0.64584715555707217</v>
      </c>
      <c r="AD12" s="2">
        <f t="shared" si="7"/>
        <v>0.6604392385767861</v>
      </c>
      <c r="AE12" s="2"/>
      <c r="AF12" s="2"/>
      <c r="AH12" s="1"/>
      <c r="AI12" s="7"/>
      <c r="AJ12" s="1"/>
      <c r="AL12" s="3"/>
      <c r="AM12" s="3"/>
      <c r="AN12" s="3"/>
      <c r="AP12" s="2"/>
    </row>
    <row r="13" spans="3:42" x14ac:dyDescent="0.2">
      <c r="C13" s="5">
        <f>Accuracy!F12</f>
        <v>0</v>
      </c>
      <c r="D13" s="5">
        <f>Accuracy!G12</f>
        <v>27280</v>
      </c>
      <c r="E13" s="6">
        <f>Thermistor!T13</f>
        <v>26737.519660449903</v>
      </c>
      <c r="F13" s="6">
        <f>Thermistor!U13</f>
        <v>27830.703431354825</v>
      </c>
      <c r="G13" s="34"/>
      <c r="H13" s="34">
        <v>8</v>
      </c>
      <c r="I13" s="34">
        <f t="shared" si="0"/>
        <v>-29.333333333333336</v>
      </c>
      <c r="K13">
        <f>Accuracy!$D$12</f>
        <v>18000</v>
      </c>
      <c r="L13" s="3">
        <f>Accuracy!$D$12*(1-Accuracy!$D$14)*(1-Accuracy!$D$16*('Resistor Network'!I13-25))</f>
        <v>17820</v>
      </c>
      <c r="M13" s="3">
        <f>Accuracy!$D$12*(1-Accuracy!$D$14)*(1+Accuracy!$D$16*('Resistor Network'!I13-25))</f>
        <v>17820</v>
      </c>
      <c r="N13" s="3">
        <f>Accuracy!$D$12*(1+Accuracy!$D$14)*(1-Accuracy!$D$16*('Resistor Network'!I13-25))</f>
        <v>18180</v>
      </c>
      <c r="O13" s="3">
        <f>Accuracy!$D$12*(1+Accuracy!$D$14)*(1+Accuracy!$D$16*('Resistor Network'!I13-25))</f>
        <v>18180</v>
      </c>
      <c r="P13" s="3">
        <f t="shared" si="1"/>
        <v>17820</v>
      </c>
      <c r="Q13" s="3">
        <f t="shared" si="2"/>
        <v>18180</v>
      </c>
      <c r="S13">
        <f>Accuracy!$D$19</f>
        <v>0</v>
      </c>
      <c r="T13" s="3">
        <f>Accuracy!$D$19*(1-Accuracy!$D$21)*(1-Accuracy!$D$23*('Resistor Network'!I13-25))</f>
        <v>0</v>
      </c>
      <c r="U13" s="3">
        <f>Accuracy!$D$19*(1-Accuracy!$D$21)*(1+Accuracy!$D$23*('Resistor Network'!I13-25))</f>
        <v>0</v>
      </c>
      <c r="V13" s="3">
        <f>Accuracy!$D$19*(1+Accuracy!$D$21)*(1-Accuracy!$D$23*('Resistor Network'!I13-25))</f>
        <v>0</v>
      </c>
      <c r="W13" s="3">
        <f>Accuracy!$D$19*(1-Accuracy!$D$21)*(1+Accuracy!$D$23*('Resistor Network'!I13-25))</f>
        <v>0</v>
      </c>
      <c r="X13" s="3">
        <f t="shared" si="3"/>
        <v>0</v>
      </c>
      <c r="Y13" s="3">
        <f t="shared" si="4"/>
        <v>0</v>
      </c>
      <c r="AB13" s="2">
        <f t="shared" si="5"/>
        <v>0.6024734982332155</v>
      </c>
      <c r="AC13" s="2">
        <f t="shared" si="6"/>
        <v>0.59525815010645877</v>
      </c>
      <c r="AD13" s="2">
        <f t="shared" si="7"/>
        <v>0.60964456929352651</v>
      </c>
      <c r="AE13" s="2"/>
      <c r="AF13" s="2"/>
      <c r="AH13" s="1"/>
      <c r="AI13" s="7"/>
      <c r="AJ13" s="1"/>
      <c r="AL13" s="3"/>
      <c r="AM13" s="3"/>
      <c r="AN13" s="3"/>
      <c r="AP13" s="2"/>
    </row>
    <row r="14" spans="3:42" x14ac:dyDescent="0.2">
      <c r="C14" s="5">
        <f>Accuracy!F13</f>
        <v>5</v>
      </c>
      <c r="D14" s="5">
        <f>Accuracy!G13</f>
        <v>22050</v>
      </c>
      <c r="E14" s="6">
        <f>Thermistor!T14</f>
        <v>21657.568787972188</v>
      </c>
      <c r="F14" s="6">
        <f>Thermistor!U14</f>
        <v>22447.297040099529</v>
      </c>
      <c r="G14" s="34"/>
      <c r="H14" s="34">
        <v>9</v>
      </c>
      <c r="I14" s="34">
        <f t="shared" si="0"/>
        <v>-28</v>
      </c>
      <c r="K14">
        <f>Accuracy!$D$12</f>
        <v>18000</v>
      </c>
      <c r="L14" s="3">
        <f>Accuracy!$D$12*(1-Accuracy!$D$14)*(1-Accuracy!$D$16*('Resistor Network'!I14-25))</f>
        <v>17820</v>
      </c>
      <c r="M14" s="3">
        <f>Accuracy!$D$12*(1-Accuracy!$D$14)*(1+Accuracy!$D$16*('Resistor Network'!I14-25))</f>
        <v>17820</v>
      </c>
      <c r="N14" s="3">
        <f>Accuracy!$D$12*(1+Accuracy!$D$14)*(1-Accuracy!$D$16*('Resistor Network'!I14-25))</f>
        <v>18180</v>
      </c>
      <c r="O14" s="3">
        <f>Accuracy!$D$12*(1+Accuracy!$D$14)*(1+Accuracy!$D$16*('Resistor Network'!I14-25))</f>
        <v>18180</v>
      </c>
      <c r="P14" s="3">
        <f t="shared" si="1"/>
        <v>17820</v>
      </c>
      <c r="Q14" s="3">
        <f t="shared" si="2"/>
        <v>18180</v>
      </c>
      <c r="S14">
        <f>Accuracy!$D$19</f>
        <v>0</v>
      </c>
      <c r="T14" s="3">
        <f>Accuracy!$D$19*(1-Accuracy!$D$21)*(1-Accuracy!$D$23*('Resistor Network'!I14-25))</f>
        <v>0</v>
      </c>
      <c r="U14" s="3">
        <f>Accuracy!$D$19*(1-Accuracy!$D$21)*(1+Accuracy!$D$23*('Resistor Network'!I14-25))</f>
        <v>0</v>
      </c>
      <c r="V14" s="3">
        <f>Accuracy!$D$19*(1+Accuracy!$D$21)*(1-Accuracy!$D$23*('Resistor Network'!I14-25))</f>
        <v>0</v>
      </c>
      <c r="W14" s="3">
        <f>Accuracy!$D$19*(1-Accuracy!$D$21)*(1+Accuracy!$D$23*('Resistor Network'!I14-25))</f>
        <v>0</v>
      </c>
      <c r="X14" s="3">
        <f t="shared" si="3"/>
        <v>0</v>
      </c>
      <c r="Y14" s="3">
        <f t="shared" si="4"/>
        <v>0</v>
      </c>
      <c r="AB14" s="2">
        <f t="shared" si="5"/>
        <v>0.550561797752809</v>
      </c>
      <c r="AC14" s="2">
        <f t="shared" si="6"/>
        <v>0.54364685011880221</v>
      </c>
      <c r="AD14" s="2">
        <f t="shared" si="7"/>
        <v>0.55745725911887645</v>
      </c>
      <c r="AE14" s="2"/>
      <c r="AF14" s="2"/>
      <c r="AH14" s="1"/>
      <c r="AI14" s="7"/>
      <c r="AJ14" s="1"/>
      <c r="AL14" s="3"/>
      <c r="AM14" s="3"/>
      <c r="AN14" s="3"/>
      <c r="AP14" s="2"/>
    </row>
    <row r="15" spans="3:42" x14ac:dyDescent="0.2">
      <c r="C15" s="5">
        <f>Accuracy!F14</f>
        <v>10</v>
      </c>
      <c r="D15" s="5">
        <f>Accuracy!G14</f>
        <v>17960</v>
      </c>
      <c r="E15" s="6">
        <f>Thermistor!T15</f>
        <v>17676.588975073682</v>
      </c>
      <c r="F15" s="6">
        <f>Thermistor!U15</f>
        <v>18246.130194847479</v>
      </c>
      <c r="G15" s="34"/>
      <c r="H15" s="34">
        <v>10</v>
      </c>
      <c r="I15" s="34">
        <f t="shared" si="0"/>
        <v>-26.666666666666668</v>
      </c>
      <c r="K15">
        <f>Accuracy!$D$12</f>
        <v>18000</v>
      </c>
      <c r="L15" s="3">
        <f>Accuracy!$D$12*(1-Accuracy!$D$14)*(1-Accuracy!$D$16*('Resistor Network'!I15-25))</f>
        <v>17820</v>
      </c>
      <c r="M15" s="3">
        <f>Accuracy!$D$12*(1-Accuracy!$D$14)*(1+Accuracy!$D$16*('Resistor Network'!I15-25))</f>
        <v>17820</v>
      </c>
      <c r="N15" s="3">
        <f>Accuracy!$D$12*(1+Accuracy!$D$14)*(1-Accuracy!$D$16*('Resistor Network'!I15-25))</f>
        <v>18180</v>
      </c>
      <c r="O15" s="3">
        <f>Accuracy!$D$12*(1+Accuracy!$D$14)*(1+Accuracy!$D$16*('Resistor Network'!I15-25))</f>
        <v>18180</v>
      </c>
      <c r="P15" s="3">
        <f t="shared" si="1"/>
        <v>17820</v>
      </c>
      <c r="Q15" s="3">
        <f t="shared" si="2"/>
        <v>18180</v>
      </c>
      <c r="S15">
        <f>Accuracy!$D$19</f>
        <v>0</v>
      </c>
      <c r="T15" s="3">
        <f>Accuracy!$D$19*(1-Accuracy!$D$21)*(1-Accuracy!$D$23*('Resistor Network'!I15-25))</f>
        <v>0</v>
      </c>
      <c r="U15" s="3">
        <f>Accuracy!$D$19*(1-Accuracy!$D$21)*(1+Accuracy!$D$23*('Resistor Network'!I15-25))</f>
        <v>0</v>
      </c>
      <c r="V15" s="3">
        <f>Accuracy!$D$19*(1+Accuracy!$D$21)*(1-Accuracy!$D$23*('Resistor Network'!I15-25))</f>
        <v>0</v>
      </c>
      <c r="W15" s="3">
        <f>Accuracy!$D$19*(1-Accuracy!$D$21)*(1+Accuracy!$D$23*('Resistor Network'!I15-25))</f>
        <v>0</v>
      </c>
      <c r="X15" s="3">
        <f t="shared" si="3"/>
        <v>0</v>
      </c>
      <c r="Y15" s="3">
        <f t="shared" si="4"/>
        <v>0</v>
      </c>
      <c r="AB15" s="2">
        <f t="shared" si="5"/>
        <v>0.49944382647385982</v>
      </c>
      <c r="AC15" s="2">
        <f t="shared" si="6"/>
        <v>0.49298021591964208</v>
      </c>
      <c r="AD15" s="2">
        <f t="shared" si="7"/>
        <v>0.50590762292135738</v>
      </c>
      <c r="AE15" s="2"/>
      <c r="AF15" s="2"/>
      <c r="AH15" s="1"/>
      <c r="AI15" s="7"/>
      <c r="AJ15" s="1"/>
      <c r="AL15" s="3"/>
      <c r="AM15" s="3"/>
      <c r="AN15" s="3"/>
      <c r="AP15" s="2"/>
    </row>
    <row r="16" spans="3:42" x14ac:dyDescent="0.2">
      <c r="C16" s="5">
        <f>Accuracy!F15</f>
        <v>15</v>
      </c>
      <c r="D16" s="5">
        <f>Accuracy!G15</f>
        <v>14690</v>
      </c>
      <c r="E16" s="6">
        <f>Thermistor!T16</f>
        <v>14487.277280948494</v>
      </c>
      <c r="F16" s="6">
        <f>Thermistor!U16</f>
        <v>14894.069893571685</v>
      </c>
      <c r="G16" s="34"/>
      <c r="H16" s="34">
        <v>11</v>
      </c>
      <c r="I16" s="34">
        <f t="shared" si="0"/>
        <v>-25.333333333333336</v>
      </c>
      <c r="K16">
        <f>Accuracy!$D$12</f>
        <v>18000</v>
      </c>
      <c r="L16" s="3">
        <f>Accuracy!$D$12*(1-Accuracy!$D$14)*(1-Accuracy!$D$16*('Resistor Network'!I16-25))</f>
        <v>17820</v>
      </c>
      <c r="M16" s="3">
        <f>Accuracy!$D$12*(1-Accuracy!$D$14)*(1+Accuracy!$D$16*('Resistor Network'!I16-25))</f>
        <v>17820</v>
      </c>
      <c r="N16" s="3">
        <f>Accuracy!$D$12*(1+Accuracy!$D$14)*(1-Accuracy!$D$16*('Resistor Network'!I16-25))</f>
        <v>18180</v>
      </c>
      <c r="O16" s="3">
        <f>Accuracy!$D$12*(1+Accuracy!$D$14)*(1+Accuracy!$D$16*('Resistor Network'!I16-25))</f>
        <v>18180</v>
      </c>
      <c r="P16" s="3">
        <f t="shared" si="1"/>
        <v>17820</v>
      </c>
      <c r="Q16" s="3">
        <f t="shared" si="2"/>
        <v>18180</v>
      </c>
      <c r="S16">
        <f>Accuracy!$D$19</f>
        <v>0</v>
      </c>
      <c r="T16" s="3">
        <f>Accuracy!$D$19*(1-Accuracy!$D$21)*(1-Accuracy!$D$23*('Resistor Network'!I16-25))</f>
        <v>0</v>
      </c>
      <c r="U16" s="3">
        <f>Accuracy!$D$19*(1-Accuracy!$D$21)*(1+Accuracy!$D$23*('Resistor Network'!I16-25))</f>
        <v>0</v>
      </c>
      <c r="V16" s="3">
        <f>Accuracy!$D$19*(1+Accuracy!$D$21)*(1-Accuracy!$D$23*('Resistor Network'!I16-25))</f>
        <v>0</v>
      </c>
      <c r="W16" s="3">
        <f>Accuracy!$D$19*(1-Accuracy!$D$21)*(1+Accuracy!$D$23*('Resistor Network'!I16-25))</f>
        <v>0</v>
      </c>
      <c r="X16" s="3">
        <f t="shared" si="3"/>
        <v>0</v>
      </c>
      <c r="Y16" s="3">
        <f t="shared" si="4"/>
        <v>0</v>
      </c>
      <c r="AB16" s="2">
        <f t="shared" si="5"/>
        <v>0.44937289691037013</v>
      </c>
      <c r="AC16" s="2">
        <f t="shared" si="6"/>
        <v>0.4434797903833097</v>
      </c>
      <c r="AD16" s="2">
        <f t="shared" si="7"/>
        <v>0.45528024920245003</v>
      </c>
      <c r="AE16" s="2"/>
      <c r="AF16" s="2"/>
      <c r="AH16" s="1"/>
      <c r="AI16" s="7"/>
      <c r="AJ16" s="1"/>
      <c r="AL16" s="3"/>
      <c r="AM16" s="3"/>
      <c r="AN16" s="3"/>
      <c r="AP16" s="2"/>
    </row>
    <row r="17" spans="3:42" x14ac:dyDescent="0.2">
      <c r="C17" s="5">
        <f>Accuracy!F16</f>
        <v>20</v>
      </c>
      <c r="D17" s="5">
        <f>Accuracy!G16</f>
        <v>12090</v>
      </c>
      <c r="E17" s="6">
        <f>Thermistor!T17</f>
        <v>11946.404961292586</v>
      </c>
      <c r="F17" s="6">
        <f>Thermistor!U17</f>
        <v>12234.097509966412</v>
      </c>
      <c r="G17" s="34"/>
      <c r="H17" s="34">
        <v>12</v>
      </c>
      <c r="I17" s="34">
        <f t="shared" si="0"/>
        <v>-24</v>
      </c>
      <c r="K17">
        <f>Accuracy!$D$12</f>
        <v>18000</v>
      </c>
      <c r="L17" s="3">
        <f>Accuracy!$D$12*(1-Accuracy!$D$14)*(1-Accuracy!$D$16*('Resistor Network'!I17-25))</f>
        <v>17820</v>
      </c>
      <c r="M17" s="3">
        <f>Accuracy!$D$12*(1-Accuracy!$D$14)*(1+Accuracy!$D$16*('Resistor Network'!I17-25))</f>
        <v>17820</v>
      </c>
      <c r="N17" s="3">
        <f>Accuracy!$D$12*(1+Accuracy!$D$14)*(1-Accuracy!$D$16*('Resistor Network'!I17-25))</f>
        <v>18180</v>
      </c>
      <c r="O17" s="3">
        <f>Accuracy!$D$12*(1+Accuracy!$D$14)*(1+Accuracy!$D$16*('Resistor Network'!I17-25))</f>
        <v>18180</v>
      </c>
      <c r="P17" s="3">
        <f t="shared" si="1"/>
        <v>17820</v>
      </c>
      <c r="Q17" s="3">
        <f t="shared" si="2"/>
        <v>18180</v>
      </c>
      <c r="S17">
        <f>Accuracy!$D$19</f>
        <v>0</v>
      </c>
      <c r="T17" s="3">
        <f>Accuracy!$D$19*(1-Accuracy!$D$21)*(1-Accuracy!$D$23*('Resistor Network'!I17-25))</f>
        <v>0</v>
      </c>
      <c r="U17" s="3">
        <f>Accuracy!$D$19*(1-Accuracy!$D$21)*(1+Accuracy!$D$23*('Resistor Network'!I17-25))</f>
        <v>0</v>
      </c>
      <c r="V17" s="3">
        <f>Accuracy!$D$19*(1+Accuracy!$D$21)*(1-Accuracy!$D$23*('Resistor Network'!I17-25))</f>
        <v>0</v>
      </c>
      <c r="W17" s="3">
        <f>Accuracy!$D$19*(1-Accuracy!$D$21)*(1+Accuracy!$D$23*('Resistor Network'!I17-25))</f>
        <v>0</v>
      </c>
      <c r="X17" s="3">
        <f t="shared" si="3"/>
        <v>0</v>
      </c>
      <c r="Y17" s="3">
        <f t="shared" si="4"/>
        <v>0</v>
      </c>
      <c r="AB17" s="2">
        <f t="shared" si="5"/>
        <v>0.40179461615154538</v>
      </c>
      <c r="AC17" s="2">
        <f t="shared" si="6"/>
        <v>0.39654266669527038</v>
      </c>
      <c r="AD17" s="2">
        <f t="shared" si="7"/>
        <v>0.40706920265728797</v>
      </c>
      <c r="AE17" s="2"/>
      <c r="AF17" s="2"/>
      <c r="AH17" s="1"/>
      <c r="AI17" s="7"/>
      <c r="AJ17" s="1"/>
      <c r="AL17" s="3"/>
      <c r="AM17" s="3"/>
      <c r="AN17" s="3"/>
      <c r="AP17" s="2"/>
    </row>
    <row r="18" spans="3:42" x14ac:dyDescent="0.2">
      <c r="C18" s="5">
        <f>Accuracy!F17</f>
        <v>25</v>
      </c>
      <c r="D18" s="5">
        <f>Accuracy!G17</f>
        <v>10000</v>
      </c>
      <c r="E18" s="6">
        <f>Thermistor!T18</f>
        <v>9900</v>
      </c>
      <c r="F18" s="6">
        <f>Thermistor!U18</f>
        <v>10100</v>
      </c>
      <c r="G18" s="34"/>
      <c r="H18" s="34">
        <v>13</v>
      </c>
      <c r="I18" s="34">
        <f t="shared" si="0"/>
        <v>-22.666666666666668</v>
      </c>
      <c r="K18">
        <f>Accuracy!$D$12</f>
        <v>18000</v>
      </c>
      <c r="L18" s="3">
        <f>Accuracy!$D$12*(1-Accuracy!$D$14)*(1-Accuracy!$D$16*('Resistor Network'!I18-25))</f>
        <v>17820</v>
      </c>
      <c r="M18" s="3">
        <f>Accuracy!$D$12*(1-Accuracy!$D$14)*(1+Accuracy!$D$16*('Resistor Network'!I18-25))</f>
        <v>17820</v>
      </c>
      <c r="N18" s="3">
        <f>Accuracy!$D$12*(1+Accuracy!$D$14)*(1-Accuracy!$D$16*('Resistor Network'!I18-25))</f>
        <v>18180</v>
      </c>
      <c r="O18" s="3">
        <f>Accuracy!$D$12*(1+Accuracy!$D$14)*(1+Accuracy!$D$16*('Resistor Network'!I18-25))</f>
        <v>18180</v>
      </c>
      <c r="P18" s="3">
        <f t="shared" si="1"/>
        <v>17820</v>
      </c>
      <c r="Q18" s="3">
        <f t="shared" si="2"/>
        <v>18180</v>
      </c>
      <c r="S18">
        <f>Accuracy!$D$19</f>
        <v>0</v>
      </c>
      <c r="T18" s="3">
        <f>Accuracy!$D$19*(1-Accuracy!$D$21)*(1-Accuracy!$D$23*('Resistor Network'!I18-25))</f>
        <v>0</v>
      </c>
      <c r="U18" s="3">
        <f>Accuracy!$D$19*(1-Accuracy!$D$21)*(1+Accuracy!$D$23*('Resistor Network'!I18-25))</f>
        <v>0</v>
      </c>
      <c r="V18" s="3">
        <f>Accuracy!$D$19*(1+Accuracy!$D$21)*(1-Accuracy!$D$23*('Resistor Network'!I18-25))</f>
        <v>0</v>
      </c>
      <c r="W18" s="3">
        <f>Accuracy!$D$19*(1-Accuracy!$D$21)*(1+Accuracy!$D$23*('Resistor Network'!I18-25))</f>
        <v>0</v>
      </c>
      <c r="X18" s="3">
        <f t="shared" si="3"/>
        <v>0</v>
      </c>
      <c r="Y18" s="3">
        <f t="shared" si="4"/>
        <v>0</v>
      </c>
      <c r="AB18" s="2">
        <f t="shared" si="5"/>
        <v>0.35714285714285715</v>
      </c>
      <c r="AC18" s="2">
        <f t="shared" si="6"/>
        <v>0.35256410256410259</v>
      </c>
      <c r="AD18" s="2">
        <f t="shared" si="7"/>
        <v>0.36174785100286533</v>
      </c>
      <c r="AE18" s="2"/>
      <c r="AF18" s="2"/>
      <c r="AH18" s="1"/>
      <c r="AI18" s="7"/>
      <c r="AJ18" s="1"/>
      <c r="AL18" s="3"/>
      <c r="AM18" s="3"/>
      <c r="AN18" s="3"/>
      <c r="AP18" s="2"/>
    </row>
    <row r="19" spans="3:42" x14ac:dyDescent="0.2">
      <c r="C19" s="5">
        <f>Accuracy!F18</f>
        <v>30</v>
      </c>
      <c r="D19" s="5">
        <f>Accuracy!G18</f>
        <v>8313</v>
      </c>
      <c r="E19" s="6">
        <f>Thermistor!T19</f>
        <v>8214.678157570459</v>
      </c>
      <c r="F19" s="6">
        <f>Thermistor!U19</f>
        <v>8411.6574109991034</v>
      </c>
      <c r="G19" s="34"/>
      <c r="H19" s="34">
        <v>14</v>
      </c>
      <c r="I19" s="34">
        <f t="shared" si="0"/>
        <v>-21.333333333333336</v>
      </c>
      <c r="K19">
        <f>Accuracy!$D$12</f>
        <v>18000</v>
      </c>
      <c r="L19" s="3">
        <f>Accuracy!$D$12*(1-Accuracy!$D$14)*(1-Accuracy!$D$16*('Resistor Network'!I19-25))</f>
        <v>17820</v>
      </c>
      <c r="M19" s="3">
        <f>Accuracy!$D$12*(1-Accuracy!$D$14)*(1+Accuracy!$D$16*('Resistor Network'!I19-25))</f>
        <v>17820</v>
      </c>
      <c r="N19" s="3">
        <f>Accuracy!$D$12*(1+Accuracy!$D$14)*(1-Accuracy!$D$16*('Resistor Network'!I19-25))</f>
        <v>18180</v>
      </c>
      <c r="O19" s="3">
        <f>Accuracy!$D$12*(1+Accuracy!$D$14)*(1+Accuracy!$D$16*('Resistor Network'!I19-25))</f>
        <v>18180</v>
      </c>
      <c r="P19" s="3">
        <f t="shared" si="1"/>
        <v>17820</v>
      </c>
      <c r="Q19" s="3">
        <f t="shared" si="2"/>
        <v>18180</v>
      </c>
      <c r="S19">
        <f>Accuracy!$D$19</f>
        <v>0</v>
      </c>
      <c r="T19" s="3">
        <f>Accuracy!$D$19*(1-Accuracy!$D$21)*(1-Accuracy!$D$23*('Resistor Network'!I19-25))</f>
        <v>0</v>
      </c>
      <c r="U19" s="3">
        <f>Accuracy!$D$19*(1-Accuracy!$D$21)*(1+Accuracy!$D$23*('Resistor Network'!I19-25))</f>
        <v>0</v>
      </c>
      <c r="V19" s="3">
        <f>Accuracy!$D$19*(1+Accuracy!$D$21)*(1-Accuracy!$D$23*('Resistor Network'!I19-25))</f>
        <v>0</v>
      </c>
      <c r="W19" s="3">
        <f>Accuracy!$D$19*(1-Accuracy!$D$21)*(1+Accuracy!$D$23*('Resistor Network'!I19-25))</f>
        <v>0</v>
      </c>
      <c r="X19" s="3">
        <f t="shared" si="3"/>
        <v>0</v>
      </c>
      <c r="Y19" s="3">
        <f t="shared" si="4"/>
        <v>0</v>
      </c>
      <c r="AB19" s="2">
        <f t="shared" si="5"/>
        <v>0.31592748831376127</v>
      </c>
      <c r="AC19" s="2">
        <f t="shared" si="6"/>
        <v>0.31122478965383193</v>
      </c>
      <c r="AD19" s="2">
        <f t="shared" si="7"/>
        <v>0.32066816363162931</v>
      </c>
      <c r="AE19" s="2"/>
      <c r="AF19" s="2"/>
      <c r="AH19" s="1"/>
      <c r="AI19" s="7"/>
      <c r="AJ19" s="1"/>
      <c r="AL19" s="3"/>
      <c r="AM19" s="3"/>
      <c r="AN19" s="3"/>
      <c r="AP19" s="2"/>
    </row>
    <row r="20" spans="3:42" x14ac:dyDescent="0.2">
      <c r="C20" s="5">
        <f>Accuracy!F19</f>
        <v>35</v>
      </c>
      <c r="D20" s="5">
        <f>Accuracy!G19</f>
        <v>6940</v>
      </c>
      <c r="E20" s="6">
        <f>Thermistor!T20</f>
        <v>6845.548626420632</v>
      </c>
      <c r="F20" s="6">
        <f>Thermistor!U20</f>
        <v>7035.0509897964212</v>
      </c>
      <c r="G20" s="34"/>
      <c r="H20" s="34">
        <v>15</v>
      </c>
      <c r="I20" s="34">
        <f t="shared" si="0"/>
        <v>-20</v>
      </c>
      <c r="K20">
        <f>Accuracy!$D$12</f>
        <v>18000</v>
      </c>
      <c r="L20" s="3">
        <f>Accuracy!$D$12*(1-Accuracy!$D$14)*(1-Accuracy!$D$16*('Resistor Network'!I20-25))</f>
        <v>17820</v>
      </c>
      <c r="M20" s="3">
        <f>Accuracy!$D$12*(1-Accuracy!$D$14)*(1+Accuracy!$D$16*('Resistor Network'!I20-25))</f>
        <v>17820</v>
      </c>
      <c r="N20" s="3">
        <f>Accuracy!$D$12*(1+Accuracy!$D$14)*(1-Accuracy!$D$16*('Resistor Network'!I20-25))</f>
        <v>18180</v>
      </c>
      <c r="O20" s="3">
        <f>Accuracy!$D$12*(1+Accuracy!$D$14)*(1+Accuracy!$D$16*('Resistor Network'!I20-25))</f>
        <v>18180</v>
      </c>
      <c r="P20" s="3">
        <f t="shared" si="1"/>
        <v>17820</v>
      </c>
      <c r="Q20" s="3">
        <f t="shared" si="2"/>
        <v>18180</v>
      </c>
      <c r="S20">
        <f>Accuracy!$D$19</f>
        <v>0</v>
      </c>
      <c r="T20" s="3">
        <f>Accuracy!$D$19*(1-Accuracy!$D$21)*(1-Accuracy!$D$23*('Resistor Network'!I20-25))</f>
        <v>0</v>
      </c>
      <c r="U20" s="3">
        <f>Accuracy!$D$19*(1-Accuracy!$D$21)*(1+Accuracy!$D$23*('Resistor Network'!I20-25))</f>
        <v>0</v>
      </c>
      <c r="V20" s="3">
        <f>Accuracy!$D$19*(1+Accuracy!$D$21)*(1-Accuracy!$D$23*('Resistor Network'!I20-25))</f>
        <v>0</v>
      </c>
      <c r="W20" s="3">
        <f>Accuracy!$D$19*(1-Accuracy!$D$21)*(1+Accuracy!$D$23*('Resistor Network'!I20-25))</f>
        <v>0</v>
      </c>
      <c r="X20" s="3">
        <f t="shared" si="3"/>
        <v>0</v>
      </c>
      <c r="Y20" s="3">
        <f t="shared" si="4"/>
        <v>0</v>
      </c>
      <c r="AB20" s="2">
        <f t="shared" si="5"/>
        <v>0.27826784282277467</v>
      </c>
      <c r="AC20" s="2">
        <f t="shared" si="6"/>
        <v>0.27354239975356498</v>
      </c>
      <c r="AD20" s="2">
        <f t="shared" si="7"/>
        <v>0.28304311235106594</v>
      </c>
      <c r="AE20" s="2"/>
      <c r="AF20" s="2"/>
      <c r="AH20" s="1"/>
      <c r="AI20" s="7"/>
      <c r="AJ20" s="1"/>
      <c r="AL20" s="3"/>
      <c r="AM20" s="3"/>
      <c r="AN20" s="3"/>
      <c r="AP20" s="2"/>
    </row>
    <row r="21" spans="3:42" x14ac:dyDescent="0.2">
      <c r="C21" s="5">
        <f>Accuracy!F20</f>
        <v>40</v>
      </c>
      <c r="D21" s="5">
        <f>Accuracy!G20</f>
        <v>5827</v>
      </c>
      <c r="E21" s="6">
        <f>Thermistor!T21</f>
        <v>5737.6580638328605</v>
      </c>
      <c r="F21" s="6">
        <f>Thermistor!U21</f>
        <v>5917.1413195753285</v>
      </c>
      <c r="G21" s="34"/>
      <c r="H21" s="34">
        <v>16</v>
      </c>
      <c r="I21" s="34">
        <f t="shared" si="0"/>
        <v>-18.666666666666668</v>
      </c>
      <c r="K21">
        <f>Accuracy!$D$12</f>
        <v>18000</v>
      </c>
      <c r="L21" s="3">
        <f>Accuracy!$D$12*(1-Accuracy!$D$14)*(1-Accuracy!$D$16*('Resistor Network'!I21-25))</f>
        <v>17820</v>
      </c>
      <c r="M21" s="3">
        <f>Accuracy!$D$12*(1-Accuracy!$D$14)*(1+Accuracy!$D$16*('Resistor Network'!I21-25))</f>
        <v>17820</v>
      </c>
      <c r="N21" s="3">
        <f>Accuracy!$D$12*(1+Accuracy!$D$14)*(1-Accuracy!$D$16*('Resistor Network'!I21-25))</f>
        <v>18180</v>
      </c>
      <c r="O21" s="3">
        <f>Accuracy!$D$12*(1+Accuracy!$D$14)*(1+Accuracy!$D$16*('Resistor Network'!I21-25))</f>
        <v>18180</v>
      </c>
      <c r="P21" s="3">
        <f t="shared" si="1"/>
        <v>17820</v>
      </c>
      <c r="Q21" s="3">
        <f t="shared" si="2"/>
        <v>18180</v>
      </c>
      <c r="S21">
        <f>Accuracy!$D$19</f>
        <v>0</v>
      </c>
      <c r="T21" s="3">
        <f>Accuracy!$D$19*(1-Accuracy!$D$21)*(1-Accuracy!$D$23*('Resistor Network'!I21-25))</f>
        <v>0</v>
      </c>
      <c r="U21" s="3">
        <f>Accuracy!$D$19*(1-Accuracy!$D$21)*(1+Accuracy!$D$23*('Resistor Network'!I21-25))</f>
        <v>0</v>
      </c>
      <c r="V21" s="3">
        <f>Accuracy!$D$19*(1+Accuracy!$D$21)*(1-Accuracy!$D$23*('Resistor Network'!I21-25))</f>
        <v>0</v>
      </c>
      <c r="W21" s="3">
        <f>Accuracy!$D$19*(1-Accuracy!$D$21)*(1+Accuracy!$D$23*('Resistor Network'!I21-25))</f>
        <v>0</v>
      </c>
      <c r="X21" s="3">
        <f t="shared" si="3"/>
        <v>0</v>
      </c>
      <c r="Y21" s="3">
        <f t="shared" si="4"/>
        <v>0</v>
      </c>
      <c r="AB21" s="2">
        <f t="shared" si="5"/>
        <v>0.24455449699920259</v>
      </c>
      <c r="AC21" s="2">
        <f t="shared" si="6"/>
        <v>0.23989213528012901</v>
      </c>
      <c r="AD21" s="2">
        <f t="shared" si="7"/>
        <v>0.24927775589791157</v>
      </c>
      <c r="AE21" s="2"/>
      <c r="AF21" s="2"/>
      <c r="AH21" s="1"/>
      <c r="AI21" s="7"/>
      <c r="AJ21" s="1"/>
      <c r="AL21" s="3"/>
      <c r="AM21" s="3"/>
      <c r="AN21" s="3"/>
      <c r="AP21" s="2"/>
    </row>
    <row r="22" spans="3:42" x14ac:dyDescent="0.2">
      <c r="C22" s="5">
        <f>Accuracy!F21</f>
        <v>45</v>
      </c>
      <c r="D22" s="5">
        <f>Accuracy!G21</f>
        <v>4911</v>
      </c>
      <c r="E22" s="6">
        <f>Thermistor!T22</f>
        <v>4827.4393709571586</v>
      </c>
      <c r="F22" s="6">
        <f>Thermistor!U22</f>
        <v>4995.5074222130534</v>
      </c>
      <c r="G22" s="34"/>
      <c r="H22" s="34">
        <v>17</v>
      </c>
      <c r="I22" s="34">
        <f t="shared" si="0"/>
        <v>-17.333333333333336</v>
      </c>
      <c r="K22">
        <f>Accuracy!$D$12</f>
        <v>18000</v>
      </c>
      <c r="L22" s="3">
        <f>Accuracy!$D$12*(1-Accuracy!$D$14)*(1-Accuracy!$D$16*('Resistor Network'!I22-25))</f>
        <v>17820</v>
      </c>
      <c r="M22" s="3">
        <f>Accuracy!$D$12*(1-Accuracy!$D$14)*(1+Accuracy!$D$16*('Resistor Network'!I22-25))</f>
        <v>17820</v>
      </c>
      <c r="N22" s="3">
        <f>Accuracy!$D$12*(1+Accuracy!$D$14)*(1-Accuracy!$D$16*('Resistor Network'!I22-25))</f>
        <v>18180</v>
      </c>
      <c r="O22" s="3">
        <f>Accuracy!$D$12*(1+Accuracy!$D$14)*(1+Accuracy!$D$16*('Resistor Network'!I22-25))</f>
        <v>18180</v>
      </c>
      <c r="P22" s="3">
        <f t="shared" si="1"/>
        <v>17820</v>
      </c>
      <c r="Q22" s="3">
        <f t="shared" si="2"/>
        <v>18180</v>
      </c>
      <c r="S22">
        <f>Accuracy!$D$19</f>
        <v>0</v>
      </c>
      <c r="T22" s="3">
        <f>Accuracy!$D$19*(1-Accuracy!$D$21)*(1-Accuracy!$D$23*('Resistor Network'!I22-25))</f>
        <v>0</v>
      </c>
      <c r="U22" s="3">
        <f>Accuracy!$D$19*(1-Accuracy!$D$21)*(1+Accuracy!$D$23*('Resistor Network'!I22-25))</f>
        <v>0</v>
      </c>
      <c r="V22" s="3">
        <f>Accuracy!$D$19*(1+Accuracy!$D$21)*(1-Accuracy!$D$23*('Resistor Network'!I22-25))</f>
        <v>0</v>
      </c>
      <c r="W22" s="3">
        <f>Accuracy!$D$19*(1-Accuracy!$D$21)*(1+Accuracy!$D$23*('Resistor Network'!I22-25))</f>
        <v>0</v>
      </c>
      <c r="X22" s="3">
        <f t="shared" si="3"/>
        <v>0</v>
      </c>
      <c r="Y22" s="3">
        <f t="shared" si="4"/>
        <v>0</v>
      </c>
      <c r="AB22" s="2">
        <f t="shared" si="5"/>
        <v>0.21435118502029593</v>
      </c>
      <c r="AC22" s="2">
        <f t="shared" si="6"/>
        <v>0.20982080157303165</v>
      </c>
      <c r="AD22" s="2">
        <f t="shared" si="7"/>
        <v>0.21895228231257546</v>
      </c>
      <c r="AE22" s="2"/>
      <c r="AF22" s="2"/>
      <c r="AH22" s="1"/>
      <c r="AI22" s="7"/>
      <c r="AJ22" s="1"/>
      <c r="AL22" s="3"/>
      <c r="AM22" s="3"/>
      <c r="AN22" s="3"/>
      <c r="AP22" s="2"/>
    </row>
    <row r="23" spans="3:42" x14ac:dyDescent="0.2">
      <c r="C23" s="5">
        <f>Accuracy!F22</f>
        <v>50</v>
      </c>
      <c r="D23" s="5">
        <f>Accuracy!G22</f>
        <v>4160</v>
      </c>
      <c r="E23" s="6">
        <f>Thermistor!T23</f>
        <v>4082.4366905913284</v>
      </c>
      <c r="F23" s="6">
        <f>Thermistor!U23</f>
        <v>4238.6130518275313</v>
      </c>
      <c r="G23" s="34"/>
      <c r="H23" s="34">
        <v>18</v>
      </c>
      <c r="I23" s="34">
        <f t="shared" si="0"/>
        <v>-16</v>
      </c>
      <c r="K23">
        <f>Accuracy!$D$12</f>
        <v>18000</v>
      </c>
      <c r="L23" s="3">
        <f>Accuracy!$D$12*(1-Accuracy!$D$14)*(1-Accuracy!$D$16*('Resistor Network'!I23-25))</f>
        <v>17820</v>
      </c>
      <c r="M23" s="3">
        <f>Accuracy!$D$12*(1-Accuracy!$D$14)*(1+Accuracy!$D$16*('Resistor Network'!I23-25))</f>
        <v>17820</v>
      </c>
      <c r="N23" s="3">
        <f>Accuracy!$D$12*(1+Accuracy!$D$14)*(1-Accuracy!$D$16*('Resistor Network'!I23-25))</f>
        <v>18180</v>
      </c>
      <c r="O23" s="3">
        <f>Accuracy!$D$12*(1+Accuracy!$D$14)*(1+Accuracy!$D$16*('Resistor Network'!I23-25))</f>
        <v>18180</v>
      </c>
      <c r="P23" s="3">
        <f t="shared" si="1"/>
        <v>17820</v>
      </c>
      <c r="Q23" s="3">
        <f t="shared" si="2"/>
        <v>18180</v>
      </c>
      <c r="S23">
        <f>Accuracy!$D$19</f>
        <v>0</v>
      </c>
      <c r="T23" s="3">
        <f>Accuracy!$D$19*(1-Accuracy!$D$21)*(1-Accuracy!$D$23*('Resistor Network'!I23-25))</f>
        <v>0</v>
      </c>
      <c r="U23" s="3">
        <f>Accuracy!$D$19*(1-Accuracy!$D$21)*(1+Accuracy!$D$23*('Resistor Network'!I23-25))</f>
        <v>0</v>
      </c>
      <c r="V23" s="3">
        <f>Accuracy!$D$19*(1+Accuracy!$D$21)*(1-Accuracy!$D$23*('Resistor Network'!I23-25))</f>
        <v>0</v>
      </c>
      <c r="W23" s="3">
        <f>Accuracy!$D$19*(1-Accuracy!$D$21)*(1+Accuracy!$D$23*('Resistor Network'!I23-25))</f>
        <v>0</v>
      </c>
      <c r="X23" s="3">
        <f t="shared" si="3"/>
        <v>0</v>
      </c>
      <c r="Y23" s="3">
        <f t="shared" si="4"/>
        <v>0</v>
      </c>
      <c r="AB23" s="2">
        <f t="shared" si="5"/>
        <v>0.18772563176895307</v>
      </c>
      <c r="AC23" s="2">
        <f t="shared" si="6"/>
        <v>0.18337780124116737</v>
      </c>
      <c r="AD23" s="2">
        <f t="shared" si="7"/>
        <v>0.19215229179952303</v>
      </c>
      <c r="AE23" s="2"/>
      <c r="AF23" s="2"/>
      <c r="AH23" s="1"/>
      <c r="AI23" s="7"/>
      <c r="AJ23" s="1"/>
      <c r="AL23" s="3"/>
      <c r="AM23" s="3"/>
      <c r="AN23" s="3"/>
      <c r="AP23" s="2"/>
    </row>
    <row r="24" spans="3:42" x14ac:dyDescent="0.2">
      <c r="C24" s="5">
        <f>Accuracy!F23</f>
        <v>55</v>
      </c>
      <c r="D24" s="5">
        <f>Accuracy!G23</f>
        <v>3536</v>
      </c>
      <c r="E24" s="6">
        <f>Thermistor!T24</f>
        <v>3464.4362446209889</v>
      </c>
      <c r="F24" s="6">
        <f>Thermistor!U24</f>
        <v>3608.6811208637864</v>
      </c>
      <c r="G24" s="34"/>
      <c r="H24" s="34">
        <v>19</v>
      </c>
      <c r="I24" s="34">
        <f t="shared" si="0"/>
        <v>-14.666666666666668</v>
      </c>
      <c r="K24">
        <f>Accuracy!$D$12</f>
        <v>18000</v>
      </c>
      <c r="L24" s="3">
        <f>Accuracy!$D$12*(1-Accuracy!$D$14)*(1-Accuracy!$D$16*('Resistor Network'!I24-25))</f>
        <v>17820</v>
      </c>
      <c r="M24" s="3">
        <f>Accuracy!$D$12*(1-Accuracy!$D$14)*(1+Accuracy!$D$16*('Resistor Network'!I24-25))</f>
        <v>17820</v>
      </c>
      <c r="N24" s="3">
        <f>Accuracy!$D$12*(1+Accuracy!$D$14)*(1-Accuracy!$D$16*('Resistor Network'!I24-25))</f>
        <v>18180</v>
      </c>
      <c r="O24" s="3">
        <f>Accuracy!$D$12*(1+Accuracy!$D$14)*(1+Accuracy!$D$16*('Resistor Network'!I24-25))</f>
        <v>18180</v>
      </c>
      <c r="P24" s="3">
        <f t="shared" si="1"/>
        <v>17820</v>
      </c>
      <c r="Q24" s="3">
        <f t="shared" si="2"/>
        <v>18180</v>
      </c>
      <c r="S24">
        <f>Accuracy!$D$19</f>
        <v>0</v>
      </c>
      <c r="T24" s="3">
        <f>Accuracy!$D$19*(1-Accuracy!$D$21)*(1-Accuracy!$D$23*('Resistor Network'!I24-25))</f>
        <v>0</v>
      </c>
      <c r="U24" s="3">
        <f>Accuracy!$D$19*(1-Accuracy!$D$21)*(1+Accuracy!$D$23*('Resistor Network'!I24-25))</f>
        <v>0</v>
      </c>
      <c r="V24" s="3">
        <f>Accuracy!$D$19*(1+Accuracy!$D$21)*(1-Accuracy!$D$23*('Resistor Network'!I24-25))</f>
        <v>0</v>
      </c>
      <c r="W24" s="3">
        <f>Accuracy!$D$19*(1-Accuracy!$D$21)*(1+Accuracy!$D$23*('Resistor Network'!I24-25))</f>
        <v>0</v>
      </c>
      <c r="X24" s="3">
        <f t="shared" si="3"/>
        <v>0</v>
      </c>
      <c r="Y24" s="3">
        <f t="shared" si="4"/>
        <v>0</v>
      </c>
      <c r="AB24" s="2">
        <f t="shared" si="5"/>
        <v>0.16419019316493313</v>
      </c>
      <c r="AC24" s="2">
        <f t="shared" si="6"/>
        <v>0.1600612834386925</v>
      </c>
      <c r="AD24" s="2">
        <f t="shared" si="7"/>
        <v>0.16840425691669075</v>
      </c>
      <c r="AE24" s="2"/>
      <c r="AF24" s="2"/>
      <c r="AH24" s="1"/>
      <c r="AI24" s="7"/>
      <c r="AJ24" s="1"/>
      <c r="AL24" s="3"/>
      <c r="AM24" s="3"/>
      <c r="AN24" s="3"/>
      <c r="AP24" s="2"/>
    </row>
    <row r="25" spans="3:42" x14ac:dyDescent="0.2">
      <c r="C25" s="5">
        <f>Accuracy!F24</f>
        <v>60</v>
      </c>
      <c r="D25" s="5">
        <f>Accuracy!G24</f>
        <v>3020</v>
      </c>
      <c r="E25" s="6">
        <f>Thermistor!T25</f>
        <v>2954.2157349762183</v>
      </c>
      <c r="F25" s="6">
        <f>Thermistor!U25</f>
        <v>3086.9404194251965</v>
      </c>
      <c r="G25" s="34"/>
      <c r="H25" s="34">
        <v>20</v>
      </c>
      <c r="I25" s="34">
        <f t="shared" si="0"/>
        <v>-13.333333333333336</v>
      </c>
      <c r="K25">
        <f>Accuracy!$D$12</f>
        <v>18000</v>
      </c>
      <c r="L25" s="3">
        <f>Accuracy!$D$12*(1-Accuracy!$D$14)*(1-Accuracy!$D$16*('Resistor Network'!I25-25))</f>
        <v>17820</v>
      </c>
      <c r="M25" s="3">
        <f>Accuracy!$D$12*(1-Accuracy!$D$14)*(1+Accuracy!$D$16*('Resistor Network'!I25-25))</f>
        <v>17820</v>
      </c>
      <c r="N25" s="3">
        <f>Accuracy!$D$12*(1+Accuracy!$D$14)*(1-Accuracy!$D$16*('Resistor Network'!I25-25))</f>
        <v>18180</v>
      </c>
      <c r="O25" s="3">
        <f>Accuracy!$D$12*(1+Accuracy!$D$14)*(1+Accuracy!$D$16*('Resistor Network'!I25-25))</f>
        <v>18180</v>
      </c>
      <c r="P25" s="3">
        <f t="shared" si="1"/>
        <v>17820</v>
      </c>
      <c r="Q25" s="3">
        <f t="shared" si="2"/>
        <v>18180</v>
      </c>
      <c r="S25">
        <f>Accuracy!$D$19</f>
        <v>0</v>
      </c>
      <c r="T25" s="3">
        <f>Accuracy!$D$19*(1-Accuracy!$D$21)*(1-Accuracy!$D$23*('Resistor Network'!I25-25))</f>
        <v>0</v>
      </c>
      <c r="U25" s="3">
        <f>Accuracy!$D$19*(1-Accuracy!$D$21)*(1+Accuracy!$D$23*('Resistor Network'!I25-25))</f>
        <v>0</v>
      </c>
      <c r="V25" s="3">
        <f>Accuracy!$D$19*(1+Accuracy!$D$21)*(1-Accuracy!$D$23*('Resistor Network'!I25-25))</f>
        <v>0</v>
      </c>
      <c r="W25" s="3">
        <f>Accuracy!$D$19*(1-Accuracy!$D$21)*(1+Accuracy!$D$23*('Resistor Network'!I25-25))</f>
        <v>0</v>
      </c>
      <c r="X25" s="3">
        <f t="shared" si="3"/>
        <v>0</v>
      </c>
      <c r="Y25" s="3">
        <f t="shared" si="4"/>
        <v>0</v>
      </c>
      <c r="AB25" s="2">
        <f t="shared" si="5"/>
        <v>0.14367269267364416</v>
      </c>
      <c r="AC25" s="2">
        <f t="shared" si="6"/>
        <v>0.13978355156501587</v>
      </c>
      <c r="AD25" s="2">
        <f t="shared" si="7"/>
        <v>0.14765146680941596</v>
      </c>
      <c r="AE25" s="2"/>
      <c r="AF25" s="2"/>
      <c r="AH25" s="1"/>
      <c r="AI25" s="7"/>
      <c r="AJ25" s="1"/>
      <c r="AL25" s="3"/>
      <c r="AM25" s="3"/>
      <c r="AN25" s="3"/>
      <c r="AP25" s="2"/>
    </row>
    <row r="26" spans="3:42" x14ac:dyDescent="0.2">
      <c r="C26" s="5">
        <f>Accuracy!F25</f>
        <v>65</v>
      </c>
      <c r="D26" s="5">
        <f>Accuracy!G25</f>
        <v>2588</v>
      </c>
      <c r="E26" s="6">
        <f>Thermistor!T26</f>
        <v>2527.7208416422891</v>
      </c>
      <c r="F26" s="6">
        <f>Thermistor!U26</f>
        <v>2649.4516780772492</v>
      </c>
      <c r="G26" s="34"/>
      <c r="H26" s="34">
        <v>21</v>
      </c>
      <c r="I26" s="34">
        <f t="shared" si="0"/>
        <v>-12</v>
      </c>
      <c r="K26">
        <f>Accuracy!$D$12</f>
        <v>18000</v>
      </c>
      <c r="L26" s="3">
        <f>Accuracy!$D$12*(1-Accuracy!$D$14)*(1-Accuracy!$D$16*('Resistor Network'!I26-25))</f>
        <v>17820</v>
      </c>
      <c r="M26" s="3">
        <f>Accuracy!$D$12*(1-Accuracy!$D$14)*(1+Accuracy!$D$16*('Resistor Network'!I26-25))</f>
        <v>17820</v>
      </c>
      <c r="N26" s="3">
        <f>Accuracy!$D$12*(1+Accuracy!$D$14)*(1-Accuracy!$D$16*('Resistor Network'!I26-25))</f>
        <v>18180</v>
      </c>
      <c r="O26" s="3">
        <f>Accuracy!$D$12*(1+Accuracy!$D$14)*(1+Accuracy!$D$16*('Resistor Network'!I26-25))</f>
        <v>18180</v>
      </c>
      <c r="P26" s="3">
        <f t="shared" si="1"/>
        <v>17820</v>
      </c>
      <c r="Q26" s="3">
        <f t="shared" si="2"/>
        <v>18180</v>
      </c>
      <c r="S26">
        <f>Accuracy!$D$19</f>
        <v>0</v>
      </c>
      <c r="T26" s="3">
        <f>Accuracy!$D$19*(1-Accuracy!$D$21)*(1-Accuracy!$D$23*('Resistor Network'!I26-25))</f>
        <v>0</v>
      </c>
      <c r="U26" s="3">
        <f>Accuracy!$D$19*(1-Accuracy!$D$21)*(1+Accuracy!$D$23*('Resistor Network'!I26-25))</f>
        <v>0</v>
      </c>
      <c r="V26" s="3">
        <f>Accuracy!$D$19*(1+Accuracy!$D$21)*(1-Accuracy!$D$23*('Resistor Network'!I26-25))</f>
        <v>0</v>
      </c>
      <c r="W26" s="3">
        <f>Accuracy!$D$19*(1-Accuracy!$D$21)*(1+Accuracy!$D$23*('Resistor Network'!I26-25))</f>
        <v>0</v>
      </c>
      <c r="X26" s="3">
        <f t="shared" si="3"/>
        <v>0</v>
      </c>
      <c r="Y26" s="3">
        <f t="shared" si="4"/>
        <v>0</v>
      </c>
      <c r="AB26" s="2">
        <f t="shared" si="5"/>
        <v>0.12570429376335729</v>
      </c>
      <c r="AC26" s="2">
        <f t="shared" si="6"/>
        <v>0.12206658863969023</v>
      </c>
      <c r="AD26" s="2">
        <f t="shared" si="7"/>
        <v>0.12943442353733431</v>
      </c>
      <c r="AE26" s="2"/>
      <c r="AF26" s="2"/>
      <c r="AH26" s="1"/>
      <c r="AI26" s="7"/>
      <c r="AJ26" s="1"/>
      <c r="AL26" s="3"/>
      <c r="AM26" s="3"/>
      <c r="AN26" s="3"/>
      <c r="AP26" s="2"/>
    </row>
    <row r="27" spans="3:42" x14ac:dyDescent="0.2">
      <c r="C27" s="5">
        <f>Accuracy!F26</f>
        <v>70</v>
      </c>
      <c r="D27" s="5">
        <f>Accuracy!G26</f>
        <v>2228</v>
      </c>
      <c r="E27" s="6">
        <f>Thermistor!T27</f>
        <v>2172.8489322677278</v>
      </c>
      <c r="F27" s="6">
        <f>Thermistor!U27</f>
        <v>2284.3224523758208</v>
      </c>
      <c r="G27" s="34"/>
      <c r="H27" s="34">
        <v>22</v>
      </c>
      <c r="I27" s="34">
        <f t="shared" si="0"/>
        <v>-10.666666666666668</v>
      </c>
      <c r="K27">
        <f>Accuracy!$D$12</f>
        <v>18000</v>
      </c>
      <c r="L27" s="3">
        <f>Accuracy!$D$12*(1-Accuracy!$D$14)*(1-Accuracy!$D$16*('Resistor Network'!I27-25))</f>
        <v>17820</v>
      </c>
      <c r="M27" s="3">
        <f>Accuracy!$D$12*(1-Accuracy!$D$14)*(1+Accuracy!$D$16*('Resistor Network'!I27-25))</f>
        <v>17820</v>
      </c>
      <c r="N27" s="3">
        <f>Accuracy!$D$12*(1+Accuracy!$D$14)*(1-Accuracy!$D$16*('Resistor Network'!I27-25))</f>
        <v>18180</v>
      </c>
      <c r="O27" s="3">
        <f>Accuracy!$D$12*(1+Accuracy!$D$14)*(1+Accuracy!$D$16*('Resistor Network'!I27-25))</f>
        <v>18180</v>
      </c>
      <c r="P27" s="3">
        <f t="shared" si="1"/>
        <v>17820</v>
      </c>
      <c r="Q27" s="3">
        <f t="shared" si="2"/>
        <v>18180</v>
      </c>
      <c r="S27">
        <f>Accuracy!$D$19</f>
        <v>0</v>
      </c>
      <c r="T27" s="3">
        <f>Accuracy!$D$19*(1-Accuracy!$D$21)*(1-Accuracy!$D$23*('Resistor Network'!I27-25))</f>
        <v>0</v>
      </c>
      <c r="U27" s="3">
        <f>Accuracy!$D$19*(1-Accuracy!$D$21)*(1+Accuracy!$D$23*('Resistor Network'!I27-25))</f>
        <v>0</v>
      </c>
      <c r="V27" s="3">
        <f>Accuracy!$D$19*(1+Accuracy!$D$21)*(1-Accuracy!$D$23*('Resistor Network'!I27-25))</f>
        <v>0</v>
      </c>
      <c r="W27" s="3">
        <f>Accuracy!$D$19*(1-Accuracy!$D$21)*(1+Accuracy!$D$23*('Resistor Network'!I27-25))</f>
        <v>0</v>
      </c>
      <c r="X27" s="3">
        <f t="shared" si="3"/>
        <v>0</v>
      </c>
      <c r="Y27" s="3">
        <f t="shared" si="4"/>
        <v>0</v>
      </c>
      <c r="AB27" s="2">
        <f t="shared" si="5"/>
        <v>0.11014435436029267</v>
      </c>
      <c r="AC27" s="2">
        <f t="shared" si="6"/>
        <v>0.10675895740683551</v>
      </c>
      <c r="AD27" s="2">
        <f t="shared" si="7"/>
        <v>0.11362344877759717</v>
      </c>
      <c r="AE27" s="2"/>
      <c r="AF27" s="2"/>
      <c r="AH27" s="1"/>
      <c r="AI27" s="7"/>
      <c r="AJ27" s="1"/>
      <c r="AL27" s="3"/>
      <c r="AM27" s="3"/>
      <c r="AN27" s="3"/>
      <c r="AP27" s="2"/>
    </row>
    <row r="28" spans="3:42" x14ac:dyDescent="0.2">
      <c r="C28" s="5">
        <f>Accuracy!F27</f>
        <v>75</v>
      </c>
      <c r="D28" s="5">
        <f>Accuracy!G27</f>
        <v>1924</v>
      </c>
      <c r="E28" s="6">
        <f>Thermistor!T28</f>
        <v>1873.6234484777951</v>
      </c>
      <c r="F28" s="6">
        <f>Thermistor!U28</f>
        <v>1975.5334645321425</v>
      </c>
      <c r="G28" s="34"/>
      <c r="H28" s="34">
        <v>23</v>
      </c>
      <c r="I28" s="34">
        <f t="shared" si="0"/>
        <v>-9.3333333333333357</v>
      </c>
      <c r="K28">
        <f>Accuracy!$D$12</f>
        <v>18000</v>
      </c>
      <c r="L28" s="3">
        <f>Accuracy!$D$12*(1-Accuracy!$D$14)*(1-Accuracy!$D$16*('Resistor Network'!I28-25))</f>
        <v>17820</v>
      </c>
      <c r="M28" s="3">
        <f>Accuracy!$D$12*(1-Accuracy!$D$14)*(1+Accuracy!$D$16*('Resistor Network'!I28-25))</f>
        <v>17820</v>
      </c>
      <c r="N28" s="3">
        <f>Accuracy!$D$12*(1+Accuracy!$D$14)*(1-Accuracy!$D$16*('Resistor Network'!I28-25))</f>
        <v>18180</v>
      </c>
      <c r="O28" s="3">
        <f>Accuracy!$D$12*(1+Accuracy!$D$14)*(1+Accuracy!$D$16*('Resistor Network'!I28-25))</f>
        <v>18180</v>
      </c>
      <c r="P28" s="3">
        <f t="shared" si="1"/>
        <v>17820</v>
      </c>
      <c r="Q28" s="3">
        <f t="shared" si="2"/>
        <v>18180</v>
      </c>
      <c r="S28">
        <f>Accuracy!$D$19</f>
        <v>0</v>
      </c>
      <c r="T28" s="3">
        <f>Accuracy!$D$19*(1-Accuracy!$D$21)*(1-Accuracy!$D$23*('Resistor Network'!I28-25))</f>
        <v>0</v>
      </c>
      <c r="U28" s="3">
        <f>Accuracy!$D$19*(1-Accuracy!$D$21)*(1+Accuracy!$D$23*('Resistor Network'!I28-25))</f>
        <v>0</v>
      </c>
      <c r="V28" s="3">
        <f>Accuracy!$D$19*(1+Accuracy!$D$21)*(1-Accuracy!$D$23*('Resistor Network'!I28-25))</f>
        <v>0</v>
      </c>
      <c r="W28" s="3">
        <f>Accuracy!$D$19*(1-Accuracy!$D$21)*(1+Accuracy!$D$23*('Resistor Network'!I28-25))</f>
        <v>0</v>
      </c>
      <c r="X28" s="3">
        <f t="shared" si="3"/>
        <v>0</v>
      </c>
      <c r="Y28" s="3">
        <f t="shared" si="4"/>
        <v>0</v>
      </c>
      <c r="AB28" s="2">
        <f t="shared" si="5"/>
        <v>9.6566954426821922E-2</v>
      </c>
      <c r="AC28" s="2">
        <f t="shared" si="6"/>
        <v>9.3430668691448657E-2</v>
      </c>
      <c r="AD28" s="2">
        <f t="shared" si="7"/>
        <v>9.9796929851459965E-2</v>
      </c>
      <c r="AE28" s="2"/>
      <c r="AF28" s="2"/>
      <c r="AH28" s="1"/>
      <c r="AI28" s="7"/>
      <c r="AJ28" s="1"/>
      <c r="AL28" s="3"/>
      <c r="AM28" s="3"/>
      <c r="AN28" s="3"/>
      <c r="AP28" s="2"/>
    </row>
    <row r="29" spans="3:42" x14ac:dyDescent="0.2">
      <c r="C29" s="5">
        <f>Accuracy!F28</f>
        <v>80</v>
      </c>
      <c r="D29" s="5">
        <f>Accuracy!G28</f>
        <v>1668</v>
      </c>
      <c r="E29" s="6">
        <f>Thermistor!T29</f>
        <v>1622.008782341572</v>
      </c>
      <c r="F29" s="6">
        <f>Thermistor!U29</f>
        <v>1715.1237452511909</v>
      </c>
      <c r="G29" s="34"/>
      <c r="H29" s="34">
        <v>24</v>
      </c>
      <c r="I29" s="34">
        <f t="shared" si="0"/>
        <v>-8</v>
      </c>
      <c r="K29">
        <f>Accuracy!$D$12</f>
        <v>18000</v>
      </c>
      <c r="L29" s="3">
        <f>Accuracy!$D$12*(1-Accuracy!$D$14)*(1-Accuracy!$D$16*('Resistor Network'!I29-25))</f>
        <v>17820</v>
      </c>
      <c r="M29" s="3">
        <f>Accuracy!$D$12*(1-Accuracy!$D$14)*(1+Accuracy!$D$16*('Resistor Network'!I29-25))</f>
        <v>17820</v>
      </c>
      <c r="N29" s="3">
        <f>Accuracy!$D$12*(1+Accuracy!$D$14)*(1-Accuracy!$D$16*('Resistor Network'!I29-25))</f>
        <v>18180</v>
      </c>
      <c r="O29" s="3">
        <f>Accuracy!$D$12*(1+Accuracy!$D$14)*(1+Accuracy!$D$16*('Resistor Network'!I29-25))</f>
        <v>18180</v>
      </c>
      <c r="P29" s="3">
        <f t="shared" si="1"/>
        <v>17820</v>
      </c>
      <c r="Q29" s="3">
        <f t="shared" si="2"/>
        <v>18180</v>
      </c>
      <c r="S29">
        <f>Accuracy!$D$19</f>
        <v>0</v>
      </c>
      <c r="T29" s="3">
        <f>Accuracy!$D$19*(1-Accuracy!$D$21)*(1-Accuracy!$D$23*('Resistor Network'!I29-25))</f>
        <v>0</v>
      </c>
      <c r="U29" s="3">
        <f>Accuracy!$D$19*(1-Accuracy!$D$21)*(1+Accuracy!$D$23*('Resistor Network'!I29-25))</f>
        <v>0</v>
      </c>
      <c r="V29" s="3">
        <f>Accuracy!$D$19*(1+Accuracy!$D$21)*(1-Accuracy!$D$23*('Resistor Network'!I29-25))</f>
        <v>0</v>
      </c>
      <c r="W29" s="3">
        <f>Accuracy!$D$19*(1-Accuracy!$D$21)*(1+Accuracy!$D$23*('Resistor Network'!I29-25))</f>
        <v>0</v>
      </c>
      <c r="X29" s="3">
        <f t="shared" si="3"/>
        <v>0</v>
      </c>
      <c r="Y29" s="3">
        <f t="shared" si="4"/>
        <v>0</v>
      </c>
      <c r="AB29" s="2">
        <f t="shared" si="5"/>
        <v>8.4807809640024406E-2</v>
      </c>
      <c r="AC29" s="2">
        <f t="shared" si="6"/>
        <v>8.1911325268575641E-2</v>
      </c>
      <c r="AD29" s="2">
        <f t="shared" si="7"/>
        <v>8.7796922487789295E-2</v>
      </c>
      <c r="AE29" s="2"/>
      <c r="AF29" s="2"/>
      <c r="AH29" s="1"/>
      <c r="AI29" s="7"/>
      <c r="AJ29" s="1"/>
      <c r="AL29" s="3"/>
      <c r="AM29" s="3"/>
      <c r="AN29" s="3"/>
      <c r="AP29" s="2"/>
    </row>
    <row r="30" spans="3:42" x14ac:dyDescent="0.2">
      <c r="C30" s="5">
        <f>Accuracy!F29</f>
        <v>85</v>
      </c>
      <c r="D30" s="5">
        <f>Accuracy!G29</f>
        <v>1451</v>
      </c>
      <c r="E30" s="6">
        <f>Thermistor!T30</f>
        <v>1409.0268895295685</v>
      </c>
      <c r="F30" s="6">
        <f>Thermistor!U30</f>
        <v>1494.0740134511266</v>
      </c>
      <c r="G30" s="34"/>
      <c r="H30" s="34">
        <v>25</v>
      </c>
      <c r="I30" s="34">
        <f t="shared" si="0"/>
        <v>-6.6666666666666714</v>
      </c>
      <c r="K30">
        <f>Accuracy!$D$12</f>
        <v>18000</v>
      </c>
      <c r="L30" s="3">
        <f>Accuracy!$D$12*(1-Accuracy!$D$14)*(1-Accuracy!$D$16*('Resistor Network'!I30-25))</f>
        <v>17820</v>
      </c>
      <c r="M30" s="3">
        <f>Accuracy!$D$12*(1-Accuracy!$D$14)*(1+Accuracy!$D$16*('Resistor Network'!I30-25))</f>
        <v>17820</v>
      </c>
      <c r="N30" s="3">
        <f>Accuracy!$D$12*(1+Accuracy!$D$14)*(1-Accuracy!$D$16*('Resistor Network'!I30-25))</f>
        <v>18180</v>
      </c>
      <c r="O30" s="3">
        <f>Accuracy!$D$12*(1+Accuracy!$D$14)*(1+Accuracy!$D$16*('Resistor Network'!I30-25))</f>
        <v>18180</v>
      </c>
      <c r="P30" s="3">
        <f t="shared" si="1"/>
        <v>17820</v>
      </c>
      <c r="Q30" s="3">
        <f t="shared" si="2"/>
        <v>18180</v>
      </c>
      <c r="S30">
        <f>Accuracy!$D$19</f>
        <v>0</v>
      </c>
      <c r="T30" s="3">
        <f>Accuracy!$D$19*(1-Accuracy!$D$21)*(1-Accuracy!$D$23*('Resistor Network'!I30-25))</f>
        <v>0</v>
      </c>
      <c r="U30" s="3">
        <f>Accuracy!$D$19*(1-Accuracy!$D$21)*(1+Accuracy!$D$23*('Resistor Network'!I30-25))</f>
        <v>0</v>
      </c>
      <c r="V30" s="3">
        <f>Accuracy!$D$19*(1+Accuracy!$D$21)*(1-Accuracy!$D$23*('Resistor Network'!I30-25))</f>
        <v>0</v>
      </c>
      <c r="W30" s="3">
        <f>Accuracy!$D$19*(1-Accuracy!$D$21)*(1+Accuracy!$D$23*('Resistor Network'!I30-25))</f>
        <v>0</v>
      </c>
      <c r="X30" s="3">
        <f t="shared" si="3"/>
        <v>0</v>
      </c>
      <c r="Y30" s="3">
        <f t="shared" si="4"/>
        <v>0</v>
      </c>
      <c r="AB30" s="2">
        <f t="shared" si="5"/>
        <v>7.4597707058763049E-2</v>
      </c>
      <c r="AC30" s="2">
        <f t="shared" si="6"/>
        <v>7.1929396874874901E-2</v>
      </c>
      <c r="AD30" s="2">
        <f t="shared" si="7"/>
        <v>7.7356750958424994E-2</v>
      </c>
      <c r="AE30" s="2"/>
      <c r="AF30" s="2"/>
      <c r="AH30" s="1"/>
      <c r="AI30" s="7"/>
      <c r="AJ30" s="1"/>
      <c r="AL30" s="3"/>
      <c r="AM30" s="3"/>
      <c r="AN30" s="3"/>
      <c r="AP30" s="2"/>
    </row>
    <row r="31" spans="3:42" x14ac:dyDescent="0.2">
      <c r="C31" s="5">
        <f>Accuracy!F30</f>
        <v>90</v>
      </c>
      <c r="D31" s="5">
        <f>Accuracy!G30</f>
        <v>1266</v>
      </c>
      <c r="E31" s="6">
        <f>Thermistor!T31</f>
        <v>1227.7027745696612</v>
      </c>
      <c r="F31" s="6">
        <f>Thermistor!U31</f>
        <v>1305.3613281616538</v>
      </c>
      <c r="G31" s="34"/>
      <c r="H31" s="34">
        <v>26</v>
      </c>
      <c r="I31" s="34">
        <f t="shared" si="0"/>
        <v>-5.3333333333333357</v>
      </c>
      <c r="K31">
        <f>Accuracy!$D$12</f>
        <v>18000</v>
      </c>
      <c r="L31" s="3">
        <f>Accuracy!$D$12*(1-Accuracy!$D$14)*(1-Accuracy!$D$16*('Resistor Network'!I31-25))</f>
        <v>17820</v>
      </c>
      <c r="M31" s="3">
        <f>Accuracy!$D$12*(1-Accuracy!$D$14)*(1+Accuracy!$D$16*('Resistor Network'!I31-25))</f>
        <v>17820</v>
      </c>
      <c r="N31" s="3">
        <f>Accuracy!$D$12*(1+Accuracy!$D$14)*(1-Accuracy!$D$16*('Resistor Network'!I31-25))</f>
        <v>18180</v>
      </c>
      <c r="O31" s="3">
        <f>Accuracy!$D$12*(1+Accuracy!$D$14)*(1+Accuracy!$D$16*('Resistor Network'!I31-25))</f>
        <v>18180</v>
      </c>
      <c r="P31" s="3">
        <f t="shared" si="1"/>
        <v>17820</v>
      </c>
      <c r="Q31" s="3">
        <f t="shared" si="2"/>
        <v>18180</v>
      </c>
      <c r="S31">
        <f>Accuracy!$D$19</f>
        <v>0</v>
      </c>
      <c r="T31" s="3">
        <f>Accuracy!$D$19*(1-Accuracy!$D$21)*(1-Accuracy!$D$23*('Resistor Network'!I31-25))</f>
        <v>0</v>
      </c>
      <c r="U31" s="3">
        <f>Accuracy!$D$19*(1-Accuracy!$D$21)*(1+Accuracy!$D$23*('Resistor Network'!I31-25))</f>
        <v>0</v>
      </c>
      <c r="V31" s="3">
        <f>Accuracy!$D$19*(1+Accuracy!$D$21)*(1-Accuracy!$D$23*('Resistor Network'!I31-25))</f>
        <v>0</v>
      </c>
      <c r="W31" s="3">
        <f>Accuracy!$D$19*(1-Accuracy!$D$21)*(1+Accuracy!$D$23*('Resistor Network'!I31-25))</f>
        <v>0</v>
      </c>
      <c r="X31" s="3">
        <f t="shared" si="3"/>
        <v>0</v>
      </c>
      <c r="Y31" s="3">
        <f t="shared" si="4"/>
        <v>0</v>
      </c>
      <c r="AB31" s="2">
        <f t="shared" si="5"/>
        <v>6.5711616318903765E-2</v>
      </c>
      <c r="AC31" s="2">
        <f t="shared" si="6"/>
        <v>6.3258531358917305E-2</v>
      </c>
      <c r="AD31" s="2">
        <f t="shared" si="7"/>
        <v>6.8252897593079162E-2</v>
      </c>
      <c r="AE31" s="2"/>
      <c r="AF31" s="2"/>
      <c r="AH31" s="1"/>
      <c r="AI31" s="7"/>
      <c r="AJ31" s="1"/>
      <c r="AL31" s="3"/>
      <c r="AM31" s="3"/>
      <c r="AN31" s="3"/>
      <c r="AP31" s="2"/>
    </row>
    <row r="32" spans="3:42" x14ac:dyDescent="0.2">
      <c r="C32" s="5">
        <f>Accuracy!F31</f>
        <v>95</v>
      </c>
      <c r="D32" s="5">
        <f>Accuracy!G31</f>
        <v>1108</v>
      </c>
      <c r="E32" s="6">
        <f>Thermistor!T32</f>
        <v>1073.0509727627025</v>
      </c>
      <c r="F32" s="6">
        <f>Thermistor!U32</f>
        <v>1143.9729004108194</v>
      </c>
      <c r="G32" s="34"/>
      <c r="H32" s="34">
        <v>27</v>
      </c>
      <c r="I32" s="34">
        <f t="shared" si="0"/>
        <v>-4</v>
      </c>
      <c r="K32">
        <f>Accuracy!$D$12</f>
        <v>18000</v>
      </c>
      <c r="L32" s="3">
        <f>Accuracy!$D$12*(1-Accuracy!$D$14)*(1-Accuracy!$D$16*('Resistor Network'!I32-25))</f>
        <v>17820</v>
      </c>
      <c r="M32" s="3">
        <f>Accuracy!$D$12*(1-Accuracy!$D$14)*(1+Accuracy!$D$16*('Resistor Network'!I32-25))</f>
        <v>17820</v>
      </c>
      <c r="N32" s="3">
        <f>Accuracy!$D$12*(1+Accuracy!$D$14)*(1-Accuracy!$D$16*('Resistor Network'!I32-25))</f>
        <v>18180</v>
      </c>
      <c r="O32" s="3">
        <f>Accuracy!$D$12*(1+Accuracy!$D$14)*(1+Accuracy!$D$16*('Resistor Network'!I32-25))</f>
        <v>18180</v>
      </c>
      <c r="P32" s="3">
        <f t="shared" si="1"/>
        <v>17820</v>
      </c>
      <c r="Q32" s="3">
        <f t="shared" si="2"/>
        <v>18180</v>
      </c>
      <c r="S32">
        <f>Accuracy!$D$19</f>
        <v>0</v>
      </c>
      <c r="T32" s="3">
        <f>Accuracy!$D$19*(1-Accuracy!$D$21)*(1-Accuracy!$D$23*('Resistor Network'!I32-25))</f>
        <v>0</v>
      </c>
      <c r="U32" s="3">
        <f>Accuracy!$D$19*(1-Accuracy!$D$21)*(1+Accuracy!$D$23*('Resistor Network'!I32-25))</f>
        <v>0</v>
      </c>
      <c r="V32" s="3">
        <f>Accuracy!$D$19*(1+Accuracy!$D$21)*(1-Accuracy!$D$23*('Resistor Network'!I32-25))</f>
        <v>0</v>
      </c>
      <c r="W32" s="3">
        <f>Accuracy!$D$19*(1-Accuracy!$D$21)*(1+Accuracy!$D$23*('Resistor Network'!I32-25))</f>
        <v>0</v>
      </c>
      <c r="X32" s="3">
        <f t="shared" si="3"/>
        <v>0</v>
      </c>
      <c r="Y32" s="3">
        <f t="shared" si="4"/>
        <v>0</v>
      </c>
      <c r="AB32" s="2">
        <f t="shared" si="5"/>
        <v>5.798618379736236E-2</v>
      </c>
      <c r="AC32" s="2">
        <f t="shared" si="6"/>
        <v>5.5734074265982467E-2</v>
      </c>
      <c r="AD32" s="2">
        <f t="shared" si="7"/>
        <v>6.0323483186692242E-2</v>
      </c>
      <c r="AE32" s="2"/>
      <c r="AF32" s="2"/>
      <c r="AH32" s="1"/>
      <c r="AI32" s="7"/>
      <c r="AJ32" s="1"/>
      <c r="AL32" s="3"/>
      <c r="AM32" s="3"/>
      <c r="AN32" s="3"/>
      <c r="AP32" s="2"/>
    </row>
    <row r="33" spans="3:45" x14ac:dyDescent="0.2">
      <c r="C33" s="5">
        <f>Accuracy!F32</f>
        <v>100</v>
      </c>
      <c r="D33" s="5">
        <f>Accuracy!G32</f>
        <v>973.1</v>
      </c>
      <c r="E33" s="6">
        <f>Thermistor!T33</f>
        <v>941.1833634203058</v>
      </c>
      <c r="F33" s="6">
        <f>Thermistor!U33</f>
        <v>1005.998357427588</v>
      </c>
      <c r="G33" s="34"/>
      <c r="H33" s="34">
        <v>28</v>
      </c>
      <c r="I33" s="34">
        <f t="shared" si="0"/>
        <v>-2.6666666666666714</v>
      </c>
      <c r="K33">
        <f>Accuracy!$D$12</f>
        <v>18000</v>
      </c>
      <c r="L33" s="3">
        <f>Accuracy!$D$12*(1-Accuracy!$D$14)*(1-Accuracy!$D$16*('Resistor Network'!I33-25))</f>
        <v>17820</v>
      </c>
      <c r="M33" s="3">
        <f>Accuracy!$D$12*(1-Accuracy!$D$14)*(1+Accuracy!$D$16*('Resistor Network'!I33-25))</f>
        <v>17820</v>
      </c>
      <c r="N33" s="3">
        <f>Accuracy!$D$12*(1+Accuracy!$D$14)*(1-Accuracy!$D$16*('Resistor Network'!I33-25))</f>
        <v>18180</v>
      </c>
      <c r="O33" s="3">
        <f>Accuracy!$D$12*(1+Accuracy!$D$14)*(1+Accuracy!$D$16*('Resistor Network'!I33-25))</f>
        <v>18180</v>
      </c>
      <c r="P33" s="3">
        <f t="shared" si="1"/>
        <v>17820</v>
      </c>
      <c r="Q33" s="3">
        <f t="shared" si="2"/>
        <v>18180</v>
      </c>
      <c r="S33">
        <f>Accuracy!$D$19</f>
        <v>0</v>
      </c>
      <c r="T33" s="3">
        <f>Accuracy!$D$19*(1-Accuracy!$D$21)*(1-Accuracy!$D$23*('Resistor Network'!I33-25))</f>
        <v>0</v>
      </c>
      <c r="U33" s="3">
        <f>Accuracy!$D$19*(1-Accuracy!$D$21)*(1+Accuracy!$D$23*('Resistor Network'!I33-25))</f>
        <v>0</v>
      </c>
      <c r="V33" s="3">
        <f>Accuracy!$D$19*(1+Accuracy!$D$21)*(1-Accuracy!$D$23*('Resistor Network'!I33-25))</f>
        <v>0</v>
      </c>
      <c r="W33" s="3">
        <f>Accuracy!$D$19*(1-Accuracy!$D$21)*(1+Accuracy!$D$23*('Resistor Network'!I33-25))</f>
        <v>0</v>
      </c>
      <c r="X33" s="3">
        <f t="shared" si="3"/>
        <v>0</v>
      </c>
      <c r="Y33" s="3">
        <f t="shared" si="4"/>
        <v>0</v>
      </c>
      <c r="AB33" s="2">
        <f t="shared" si="5"/>
        <v>5.1288403054851349E-2</v>
      </c>
      <c r="AC33" s="2">
        <f t="shared" si="6"/>
        <v>4.9222024888942409E-2</v>
      </c>
      <c r="AD33" s="2">
        <f t="shared" si="7"/>
        <v>5.3436653840495132E-2</v>
      </c>
      <c r="AE33" s="2"/>
      <c r="AF33" s="2"/>
      <c r="AH33" s="1"/>
      <c r="AI33" s="7"/>
      <c r="AJ33" s="1"/>
      <c r="AL33" s="3"/>
      <c r="AM33" s="3"/>
      <c r="AN33" s="3"/>
      <c r="AP33" s="2"/>
    </row>
    <row r="34" spans="3:45" x14ac:dyDescent="0.2">
      <c r="C34" s="5">
        <f>Accuracy!F33</f>
        <v>105</v>
      </c>
      <c r="D34" s="5">
        <f>Accuracy!G33</f>
        <v>857.2</v>
      </c>
      <c r="E34" s="6">
        <f>Thermistor!T34</f>
        <v>828.03401682400681</v>
      </c>
      <c r="F34" s="6">
        <f>Thermistor!U34</f>
        <v>887.30456223776071</v>
      </c>
      <c r="G34" s="34"/>
      <c r="H34" s="34">
        <v>29</v>
      </c>
      <c r="I34" s="34">
        <f t="shared" si="0"/>
        <v>-1.3333333333333357</v>
      </c>
      <c r="K34">
        <f>Accuracy!$D$12</f>
        <v>18000</v>
      </c>
      <c r="L34" s="3">
        <f>Accuracy!$D$12*(1-Accuracy!$D$14)*(1-Accuracy!$D$16*('Resistor Network'!I34-25))</f>
        <v>17820</v>
      </c>
      <c r="M34" s="3">
        <f>Accuracy!$D$12*(1-Accuracy!$D$14)*(1+Accuracy!$D$16*('Resistor Network'!I34-25))</f>
        <v>17820</v>
      </c>
      <c r="N34" s="3">
        <f>Accuracy!$D$12*(1+Accuracy!$D$14)*(1-Accuracy!$D$16*('Resistor Network'!I34-25))</f>
        <v>18180</v>
      </c>
      <c r="O34" s="3">
        <f>Accuracy!$D$12*(1+Accuracy!$D$14)*(1+Accuracy!$D$16*('Resistor Network'!I34-25))</f>
        <v>18180</v>
      </c>
      <c r="P34" s="3">
        <f t="shared" si="1"/>
        <v>17820</v>
      </c>
      <c r="Q34" s="3">
        <f t="shared" si="2"/>
        <v>18180</v>
      </c>
      <c r="S34">
        <f>Accuracy!$D$19</f>
        <v>0</v>
      </c>
      <c r="T34" s="3">
        <f>Accuracy!$D$19*(1-Accuracy!$D$21)*(1-Accuracy!$D$23*('Resistor Network'!I34-25))</f>
        <v>0</v>
      </c>
      <c r="U34" s="3">
        <f>Accuracy!$D$19*(1-Accuracy!$D$21)*(1+Accuracy!$D$23*('Resistor Network'!I34-25))</f>
        <v>0</v>
      </c>
      <c r="V34" s="3">
        <f>Accuracy!$D$19*(1+Accuracy!$D$21)*(1-Accuracy!$D$23*('Resistor Network'!I34-25))</f>
        <v>0</v>
      </c>
      <c r="W34" s="3">
        <f>Accuracy!$D$19*(1-Accuracy!$D$21)*(1+Accuracy!$D$23*('Resistor Network'!I34-25))</f>
        <v>0</v>
      </c>
      <c r="X34" s="3">
        <f t="shared" si="3"/>
        <v>0</v>
      </c>
      <c r="Y34" s="3">
        <f t="shared" si="4"/>
        <v>0</v>
      </c>
      <c r="AB34" s="2">
        <f t="shared" si="5"/>
        <v>4.5457438007763612E-2</v>
      </c>
      <c r="AC34" s="2">
        <f t="shared" si="6"/>
        <v>4.3562317706876685E-2</v>
      </c>
      <c r="AD34" s="2">
        <f t="shared" si="7"/>
        <v>4.7430914447656888E-2</v>
      </c>
      <c r="AE34" s="2"/>
      <c r="AF34" s="2"/>
      <c r="AH34" s="1"/>
      <c r="AI34" s="7"/>
      <c r="AJ34" s="1"/>
      <c r="AL34" s="3"/>
      <c r="AM34" s="3"/>
      <c r="AN34" s="3"/>
      <c r="AP34" s="2"/>
    </row>
    <row r="35" spans="3:45" x14ac:dyDescent="0.2">
      <c r="C35" s="5">
        <f>Accuracy!F34</f>
        <v>110</v>
      </c>
      <c r="D35" s="5">
        <f>Accuracy!G34</f>
        <v>757.6</v>
      </c>
      <c r="E35" s="6">
        <f>Thermistor!T35</f>
        <v>730.91951984487127</v>
      </c>
      <c r="F35" s="6">
        <f>Thermistor!U35</f>
        <v>785.17586224240301</v>
      </c>
      <c r="G35" s="34"/>
      <c r="H35" s="34">
        <v>30</v>
      </c>
      <c r="I35" s="34">
        <f t="shared" si="0"/>
        <v>0</v>
      </c>
      <c r="K35">
        <f>Accuracy!$D$12</f>
        <v>18000</v>
      </c>
      <c r="L35" s="3">
        <f>Accuracy!$D$12*(1-Accuracy!$D$14)*(1-Accuracy!$D$16*('Resistor Network'!I35-25))</f>
        <v>17820</v>
      </c>
      <c r="M35" s="3">
        <f>Accuracy!$D$12*(1-Accuracy!$D$14)*(1+Accuracy!$D$16*('Resistor Network'!I35-25))</f>
        <v>17820</v>
      </c>
      <c r="N35" s="3">
        <f>Accuracy!$D$12*(1+Accuracy!$D$14)*(1-Accuracy!$D$16*('Resistor Network'!I35-25))</f>
        <v>18180</v>
      </c>
      <c r="O35" s="3">
        <f>Accuracy!$D$12*(1+Accuracy!$D$14)*(1+Accuracy!$D$16*('Resistor Network'!I35-25))</f>
        <v>18180</v>
      </c>
      <c r="P35" s="3">
        <f t="shared" si="1"/>
        <v>17820</v>
      </c>
      <c r="Q35" s="3">
        <f t="shared" si="2"/>
        <v>18180</v>
      </c>
      <c r="S35">
        <f>Accuracy!$D$19</f>
        <v>0</v>
      </c>
      <c r="T35" s="3">
        <f>Accuracy!$D$19*(1-Accuracy!$D$21)*(1-Accuracy!$D$23*('Resistor Network'!I35-25))</f>
        <v>0</v>
      </c>
      <c r="U35" s="3">
        <f>Accuracy!$D$19*(1-Accuracy!$D$21)*(1+Accuracy!$D$23*('Resistor Network'!I35-25))</f>
        <v>0</v>
      </c>
      <c r="V35" s="3">
        <f>Accuracy!$D$19*(1+Accuracy!$D$21)*(1-Accuracy!$D$23*('Resistor Network'!I35-25))</f>
        <v>0</v>
      </c>
      <c r="W35" s="3">
        <f>Accuracy!$D$19*(1-Accuracy!$D$21)*(1+Accuracy!$D$23*('Resistor Network'!I35-25))</f>
        <v>0</v>
      </c>
      <c r="X35" s="3">
        <f t="shared" si="3"/>
        <v>0</v>
      </c>
      <c r="Y35" s="3">
        <f t="shared" si="4"/>
        <v>0</v>
      </c>
      <c r="AB35" s="2">
        <f t="shared" ref="AB35:AB40" si="8">(D35+S35)/(D35+S35+K35)</f>
        <v>4.0388962340597946E-2</v>
      </c>
      <c r="AC35" s="2">
        <f t="shared" si="6"/>
        <v>3.8650659957484026E-2</v>
      </c>
      <c r="AD35" s="2">
        <f t="shared" si="7"/>
        <v>4.2202012389243232E-2</v>
      </c>
      <c r="AE35" s="2"/>
      <c r="AF35" s="2"/>
      <c r="AH35" s="1"/>
      <c r="AI35" s="7"/>
      <c r="AJ35" s="1"/>
      <c r="AL35" s="3"/>
      <c r="AM35" s="3"/>
      <c r="AN35" s="3"/>
      <c r="AP35" s="2"/>
    </row>
    <row r="36" spans="3:45" x14ac:dyDescent="0.2">
      <c r="C36" s="5">
        <f>Accuracy!F35</f>
        <v>115</v>
      </c>
      <c r="D36" s="5">
        <f>Accuracy!G35</f>
        <v>0</v>
      </c>
      <c r="E36" s="6" t="e">
        <f>Thermistor!T36</f>
        <v>#NUM!</v>
      </c>
      <c r="F36" s="6" t="e">
        <f>Thermistor!U36</f>
        <v>#NUM!</v>
      </c>
      <c r="G36" s="34"/>
      <c r="H36" s="34">
        <v>31</v>
      </c>
      <c r="I36" s="34">
        <f t="shared" si="0"/>
        <v>1.3333333333333286</v>
      </c>
      <c r="K36">
        <f>Accuracy!$D$12</f>
        <v>18000</v>
      </c>
      <c r="L36" s="3">
        <f>Accuracy!$D$12*(1-Accuracy!$D$14)*(1-Accuracy!$D$16*('Resistor Network'!I36-25))</f>
        <v>17820</v>
      </c>
      <c r="M36" s="3">
        <f>Accuracy!$D$12*(1-Accuracy!$D$14)*(1+Accuracy!$D$16*('Resistor Network'!I36-25))</f>
        <v>17820</v>
      </c>
      <c r="N36" s="3">
        <f>Accuracy!$D$12*(1+Accuracy!$D$14)*(1-Accuracy!$D$16*('Resistor Network'!I36-25))</f>
        <v>18180</v>
      </c>
      <c r="O36" s="3">
        <f>Accuracy!$D$12*(1+Accuracy!$D$14)*(1+Accuracy!$D$16*('Resistor Network'!I36-25))</f>
        <v>18180</v>
      </c>
      <c r="P36" s="3">
        <f t="shared" si="1"/>
        <v>17820</v>
      </c>
      <c r="Q36" s="3">
        <f t="shared" si="2"/>
        <v>18180</v>
      </c>
      <c r="S36">
        <f>Accuracy!$D$19</f>
        <v>0</v>
      </c>
      <c r="T36" s="3">
        <f>Accuracy!$D$19*(1-Accuracy!$D$21)*(1-Accuracy!$D$23*('Resistor Network'!I36-25))</f>
        <v>0</v>
      </c>
      <c r="U36" s="3">
        <f>Accuracy!$D$19*(1-Accuracy!$D$21)*(1+Accuracy!$D$23*('Resistor Network'!I36-25))</f>
        <v>0</v>
      </c>
      <c r="V36" s="3">
        <f>Accuracy!$D$19*(1+Accuracy!$D$21)*(1-Accuracy!$D$23*('Resistor Network'!I36-25))</f>
        <v>0</v>
      </c>
      <c r="W36" s="3">
        <f>Accuracy!$D$19*(1-Accuracy!$D$21)*(1+Accuracy!$D$23*('Resistor Network'!I36-25))</f>
        <v>0</v>
      </c>
      <c r="X36" s="3">
        <f>MINA(T36:W36)</f>
        <v>0</v>
      </c>
      <c r="Y36" s="3">
        <f>MAX(T36:W36)</f>
        <v>0</v>
      </c>
      <c r="AB36" s="2">
        <f t="shared" si="8"/>
        <v>0</v>
      </c>
      <c r="AC36" s="2" t="e">
        <f>(E36+X36)/(E36+X36+Q36)</f>
        <v>#NUM!</v>
      </c>
      <c r="AD36" s="2" t="e">
        <f>(F36+Y36)/(F36+Y36+P36)</f>
        <v>#NUM!</v>
      </c>
      <c r="AE36" s="2"/>
      <c r="AF36" s="2"/>
      <c r="AH36" s="1"/>
      <c r="AI36" s="7"/>
      <c r="AJ36" s="1"/>
      <c r="AL36" s="3"/>
      <c r="AM36" s="3"/>
      <c r="AN36" s="3"/>
      <c r="AP36" s="2"/>
    </row>
    <row r="37" spans="3:45" x14ac:dyDescent="0.2">
      <c r="C37" s="5">
        <f>Accuracy!F36</f>
        <v>0</v>
      </c>
      <c r="D37" s="5">
        <f>Accuracy!G36</f>
        <v>0</v>
      </c>
      <c r="E37" s="6" t="e">
        <f>Thermistor!T37</f>
        <v>#NUM!</v>
      </c>
      <c r="F37" s="6" t="e">
        <f>Thermistor!U37</f>
        <v>#NUM!</v>
      </c>
      <c r="G37" s="34"/>
      <c r="H37" s="34">
        <v>32</v>
      </c>
      <c r="I37" s="34">
        <f t="shared" si="0"/>
        <v>2.6666666666666643</v>
      </c>
      <c r="K37">
        <f>Accuracy!$D$12</f>
        <v>18000</v>
      </c>
      <c r="L37" s="3">
        <f>Accuracy!$D$12*(1-Accuracy!$D$14)*(1-Accuracy!$D$16*('Resistor Network'!I37-25))</f>
        <v>17820</v>
      </c>
      <c r="M37" s="3">
        <f>Accuracy!$D$12*(1-Accuracy!$D$14)*(1+Accuracy!$D$16*('Resistor Network'!I37-25))</f>
        <v>17820</v>
      </c>
      <c r="N37" s="3">
        <f>Accuracy!$D$12*(1+Accuracy!$D$14)*(1-Accuracy!$D$16*('Resistor Network'!I37-25))</f>
        <v>18180</v>
      </c>
      <c r="O37" s="3">
        <f>Accuracy!$D$12*(1+Accuracy!$D$14)*(1+Accuracy!$D$16*('Resistor Network'!I37-25))</f>
        <v>18180</v>
      </c>
      <c r="P37" s="3">
        <f t="shared" si="1"/>
        <v>17820</v>
      </c>
      <c r="Q37" s="3">
        <f t="shared" si="2"/>
        <v>18180</v>
      </c>
      <c r="S37">
        <f>Accuracy!$D$19</f>
        <v>0</v>
      </c>
      <c r="T37" s="3">
        <f>Accuracy!$D$19*(1-Accuracy!$D$21)*(1-Accuracy!$D$23*('Resistor Network'!I37-25))</f>
        <v>0</v>
      </c>
      <c r="U37" s="3">
        <f>Accuracy!$D$19*(1-Accuracy!$D$21)*(1+Accuracy!$D$23*('Resistor Network'!I37-25))</f>
        <v>0</v>
      </c>
      <c r="V37" s="3">
        <f>Accuracy!$D$19*(1+Accuracy!$D$21)*(1-Accuracy!$D$23*('Resistor Network'!I37-25))</f>
        <v>0</v>
      </c>
      <c r="W37" s="3">
        <f>Accuracy!$D$19*(1-Accuracy!$D$21)*(1+Accuracy!$D$23*('Resistor Network'!I37-25))</f>
        <v>0</v>
      </c>
      <c r="X37" s="3">
        <f>MINA(T37:W37)</f>
        <v>0</v>
      </c>
      <c r="Y37" s="3">
        <f>MAX(T37:W37)</f>
        <v>0</v>
      </c>
      <c r="AB37" s="2">
        <f t="shared" si="8"/>
        <v>0</v>
      </c>
      <c r="AC37" s="2" t="e">
        <f>(E37+X37)/(E37+X37+Q37)</f>
        <v>#NUM!</v>
      </c>
      <c r="AD37" s="2" t="e">
        <f>(F37+Y37)/(F37+Y37+P37)</f>
        <v>#NUM!</v>
      </c>
      <c r="AE37" s="2"/>
      <c r="AF37" s="2"/>
      <c r="AH37" s="1"/>
      <c r="AI37" s="7"/>
      <c r="AJ37" s="1"/>
      <c r="AL37" s="3"/>
      <c r="AM37" s="3"/>
      <c r="AN37" s="3"/>
      <c r="AP37" s="2"/>
    </row>
    <row r="38" spans="3:45" x14ac:dyDescent="0.2">
      <c r="C38" s="5">
        <f>Accuracy!F37</f>
        <v>0</v>
      </c>
      <c r="D38" s="5">
        <f>Accuracy!G37</f>
        <v>0</v>
      </c>
      <c r="E38" s="6" t="e">
        <f>Thermistor!T38</f>
        <v>#NUM!</v>
      </c>
      <c r="F38" s="6" t="e">
        <f>Thermistor!U38</f>
        <v>#NUM!</v>
      </c>
      <c r="G38" s="34"/>
      <c r="H38" s="34">
        <v>33</v>
      </c>
      <c r="I38" s="34">
        <f t="shared" si="0"/>
        <v>4</v>
      </c>
      <c r="K38">
        <f>Accuracy!$D$12</f>
        <v>18000</v>
      </c>
      <c r="L38" s="3">
        <f>Accuracy!$D$12*(1-Accuracy!$D$14)*(1-Accuracy!$D$16*('Resistor Network'!I38-25))</f>
        <v>17820</v>
      </c>
      <c r="M38" s="3">
        <f>Accuracy!$D$12*(1-Accuracy!$D$14)*(1+Accuracy!$D$16*('Resistor Network'!I38-25))</f>
        <v>17820</v>
      </c>
      <c r="N38" s="3">
        <f>Accuracy!$D$12*(1+Accuracy!$D$14)*(1-Accuracy!$D$16*('Resistor Network'!I38-25))</f>
        <v>18180</v>
      </c>
      <c r="O38" s="3">
        <f>Accuracy!$D$12*(1+Accuracy!$D$14)*(1+Accuracy!$D$16*('Resistor Network'!I38-25))</f>
        <v>18180</v>
      </c>
      <c r="P38" s="3">
        <f t="shared" si="1"/>
        <v>17820</v>
      </c>
      <c r="Q38" s="3">
        <f t="shared" si="2"/>
        <v>18180</v>
      </c>
      <c r="S38">
        <f>Accuracy!$D$19</f>
        <v>0</v>
      </c>
      <c r="T38" s="3">
        <f>Accuracy!$D$19*(1-Accuracy!$D$21)*(1-Accuracy!$D$23*('Resistor Network'!I38-25))</f>
        <v>0</v>
      </c>
      <c r="U38" s="3">
        <f>Accuracy!$D$19*(1-Accuracy!$D$21)*(1+Accuracy!$D$23*('Resistor Network'!I38-25))</f>
        <v>0</v>
      </c>
      <c r="V38" s="3">
        <f>Accuracy!$D$19*(1+Accuracy!$D$21)*(1-Accuracy!$D$23*('Resistor Network'!I38-25))</f>
        <v>0</v>
      </c>
      <c r="W38" s="3">
        <f>Accuracy!$D$19*(1-Accuracy!$D$21)*(1+Accuracy!$D$23*('Resistor Network'!I38-25))</f>
        <v>0</v>
      </c>
      <c r="X38" s="3">
        <f>MINA(T38:W38)</f>
        <v>0</v>
      </c>
      <c r="Y38" s="3">
        <f>MAX(T38:W38)</f>
        <v>0</v>
      </c>
      <c r="AB38" s="2">
        <f t="shared" si="8"/>
        <v>0</v>
      </c>
      <c r="AC38" s="2" t="e">
        <f>(E38+X38)/(E38+X38+Q38)</f>
        <v>#NUM!</v>
      </c>
      <c r="AD38" s="2" t="e">
        <f>(F38+Y38)/(F38+Y38+P38)</f>
        <v>#NUM!</v>
      </c>
      <c r="AE38" s="2"/>
      <c r="AF38" s="2"/>
      <c r="AH38" s="1"/>
      <c r="AI38" s="7"/>
      <c r="AJ38" s="1"/>
      <c r="AL38" s="3"/>
      <c r="AM38" s="3"/>
      <c r="AN38" s="3"/>
      <c r="AP38" s="2"/>
    </row>
    <row r="39" spans="3:45" x14ac:dyDescent="0.2">
      <c r="C39" s="5">
        <f>Accuracy!F38</f>
        <v>0</v>
      </c>
      <c r="D39" s="5">
        <f>Accuracy!G38</f>
        <v>0</v>
      </c>
      <c r="E39" s="6" t="e">
        <f>Thermistor!T39</f>
        <v>#NUM!</v>
      </c>
      <c r="F39" s="6" t="e">
        <f>Thermistor!U39</f>
        <v>#NUM!</v>
      </c>
      <c r="G39" s="34"/>
      <c r="H39" s="34">
        <v>34</v>
      </c>
      <c r="I39" s="34">
        <f t="shared" si="0"/>
        <v>5.3333333333333286</v>
      </c>
      <c r="K39">
        <f>Accuracy!$D$12</f>
        <v>18000</v>
      </c>
      <c r="L39" s="3">
        <f>Accuracy!$D$12*(1-Accuracy!$D$14)*(1-Accuracy!$D$16*('Resistor Network'!I39-25))</f>
        <v>17820</v>
      </c>
      <c r="M39" s="3">
        <f>Accuracy!$D$12*(1-Accuracy!$D$14)*(1+Accuracy!$D$16*('Resistor Network'!I39-25))</f>
        <v>17820</v>
      </c>
      <c r="N39" s="3">
        <f>Accuracy!$D$12*(1+Accuracy!$D$14)*(1-Accuracy!$D$16*('Resistor Network'!I39-25))</f>
        <v>18180</v>
      </c>
      <c r="O39" s="3">
        <f>Accuracy!$D$12*(1+Accuracy!$D$14)*(1+Accuracy!$D$16*('Resistor Network'!I39-25))</f>
        <v>18180</v>
      </c>
      <c r="P39" s="3">
        <f t="shared" si="1"/>
        <v>17820</v>
      </c>
      <c r="Q39" s="3">
        <f t="shared" si="2"/>
        <v>18180</v>
      </c>
      <c r="S39">
        <f>Accuracy!$D$19</f>
        <v>0</v>
      </c>
      <c r="T39" s="3">
        <f>Accuracy!$D$19*(1-Accuracy!$D$21)*(1-Accuracy!$D$23*('Resistor Network'!I39-25))</f>
        <v>0</v>
      </c>
      <c r="U39" s="3">
        <f>Accuracy!$D$19*(1-Accuracy!$D$21)*(1+Accuracy!$D$23*('Resistor Network'!I39-25))</f>
        <v>0</v>
      </c>
      <c r="V39" s="3">
        <f>Accuracy!$D$19*(1+Accuracy!$D$21)*(1-Accuracy!$D$23*('Resistor Network'!I39-25))</f>
        <v>0</v>
      </c>
      <c r="W39" s="3">
        <f>Accuracy!$D$19*(1-Accuracy!$D$21)*(1+Accuracy!$D$23*('Resistor Network'!I39-25))</f>
        <v>0</v>
      </c>
      <c r="X39" s="3">
        <f>MINA(T39:W39)</f>
        <v>0</v>
      </c>
      <c r="Y39" s="3">
        <f>MAX(T39:W39)</f>
        <v>0</v>
      </c>
      <c r="AB39" s="2">
        <f t="shared" si="8"/>
        <v>0</v>
      </c>
      <c r="AC39" s="2" t="e">
        <f>(E39+X39)/(E39+X39+Q39)</f>
        <v>#NUM!</v>
      </c>
      <c r="AD39" s="2" t="e">
        <f>(F39+Y39)/(F39+Y39+P39)</f>
        <v>#NUM!</v>
      </c>
      <c r="AE39" s="2"/>
      <c r="AF39" s="2"/>
      <c r="AH39" s="1"/>
      <c r="AI39" s="7"/>
      <c r="AJ39" s="1"/>
      <c r="AL39" s="3"/>
      <c r="AM39" s="3"/>
      <c r="AN39" s="3"/>
      <c r="AP39" s="2"/>
    </row>
    <row r="40" spans="3:45" x14ac:dyDescent="0.2">
      <c r="C40" s="5">
        <f>Accuracy!F39</f>
        <v>0</v>
      </c>
      <c r="D40" s="5">
        <f>Accuracy!G39</f>
        <v>0</v>
      </c>
      <c r="E40" s="6" t="e">
        <f>Thermistor!T40</f>
        <v>#NUM!</v>
      </c>
      <c r="F40" s="6" t="e">
        <f>Thermistor!U40</f>
        <v>#NUM!</v>
      </c>
      <c r="G40" s="34"/>
      <c r="H40" s="34">
        <v>35</v>
      </c>
      <c r="I40" s="34">
        <f t="shared" si="0"/>
        <v>6.6666666666666643</v>
      </c>
      <c r="K40">
        <f>Accuracy!$D$12</f>
        <v>18000</v>
      </c>
      <c r="L40" s="3">
        <f>Accuracy!$D$12*(1-Accuracy!$D$14)*(1-Accuracy!$D$16*('Resistor Network'!I40-25))</f>
        <v>17820</v>
      </c>
      <c r="M40" s="3">
        <f>Accuracy!$D$12*(1-Accuracy!$D$14)*(1+Accuracy!$D$16*('Resistor Network'!I40-25))</f>
        <v>17820</v>
      </c>
      <c r="N40" s="3">
        <f>Accuracy!$D$12*(1+Accuracy!$D$14)*(1-Accuracy!$D$16*('Resistor Network'!I40-25))</f>
        <v>18180</v>
      </c>
      <c r="O40" s="3">
        <f>Accuracy!$D$12*(1+Accuracy!$D$14)*(1+Accuracy!$D$16*('Resistor Network'!I40-25))</f>
        <v>18180</v>
      </c>
      <c r="P40" s="3">
        <f t="shared" si="1"/>
        <v>17820</v>
      </c>
      <c r="Q40" s="3">
        <f t="shared" si="2"/>
        <v>18180</v>
      </c>
      <c r="S40">
        <f>Accuracy!$D$19</f>
        <v>0</v>
      </c>
      <c r="T40" s="3">
        <f>Accuracy!$D$19*(1-Accuracy!$D$21)*(1-Accuracy!$D$23*('Resistor Network'!I40-25))</f>
        <v>0</v>
      </c>
      <c r="U40" s="3">
        <f>Accuracy!$D$19*(1-Accuracy!$D$21)*(1+Accuracy!$D$23*('Resistor Network'!I40-25))</f>
        <v>0</v>
      </c>
      <c r="V40" s="3">
        <f>Accuracy!$D$19*(1+Accuracy!$D$21)*(1-Accuracy!$D$23*('Resistor Network'!I40-25))</f>
        <v>0</v>
      </c>
      <c r="W40" s="3">
        <f>Accuracy!$D$19*(1-Accuracy!$D$21)*(1+Accuracy!$D$23*('Resistor Network'!I40-25))</f>
        <v>0</v>
      </c>
      <c r="X40" s="3">
        <f>MINA(T40:W40)</f>
        <v>0</v>
      </c>
      <c r="Y40" s="3">
        <f>MAX(T40:W40)</f>
        <v>0</v>
      </c>
      <c r="AB40" s="2">
        <f t="shared" si="8"/>
        <v>0</v>
      </c>
      <c r="AC40" s="2" t="e">
        <f>(E40+X40)/(E40+X40+Q40)</f>
        <v>#NUM!</v>
      </c>
      <c r="AD40" s="2" t="e">
        <f>(F40+Y40)/(F40+Y40+P40)</f>
        <v>#NUM!</v>
      </c>
      <c r="AE40" s="2"/>
      <c r="AF40" s="2"/>
      <c r="AH40" s="1"/>
      <c r="AI40" s="7"/>
      <c r="AJ40" s="1"/>
      <c r="AL40" s="3"/>
      <c r="AM40" s="3"/>
      <c r="AN40" s="3"/>
      <c r="AP40" s="2"/>
    </row>
    <row r="41" spans="3:45" x14ac:dyDescent="0.2">
      <c r="H41" s="34"/>
      <c r="I41" s="34"/>
    </row>
    <row r="42" spans="3:45" x14ac:dyDescent="0.2">
      <c r="G42" t="s">
        <v>68</v>
      </c>
      <c r="I42">
        <f>C5</f>
        <v>-40</v>
      </c>
    </row>
    <row r="43" spans="3:45" x14ac:dyDescent="0.2">
      <c r="G43" t="s">
        <v>66</v>
      </c>
      <c r="I43" s="8">
        <f>C40</f>
        <v>0</v>
      </c>
      <c r="AA43" t="s">
        <v>20</v>
      </c>
      <c r="AB43" t="s">
        <v>21</v>
      </c>
      <c r="AC43" t="s">
        <v>41</v>
      </c>
      <c r="AS43" s="8"/>
    </row>
    <row r="44" spans="3:45" x14ac:dyDescent="0.2">
      <c r="G44" t="s">
        <v>69</v>
      </c>
      <c r="I44">
        <f>(I43-I42)/30</f>
        <v>1.3333333333333333</v>
      </c>
      <c r="AA44" s="5">
        <f>Accuracy!D3</f>
        <v>-40</v>
      </c>
      <c r="AB44">
        <f>LOOKUP(AA44,C5:C40,AB5:AB40)</f>
        <v>0.9128329297820823</v>
      </c>
      <c r="AC44" t="s">
        <v>42</v>
      </c>
      <c r="AD44">
        <f>(AB45-AB44)/(AA45-AA44)</f>
        <v>-5.8162931162765623E-3</v>
      </c>
      <c r="AS44" s="8"/>
    </row>
    <row r="45" spans="3:45" x14ac:dyDescent="0.2">
      <c r="AA45" s="5">
        <f>Accuracy!D4</f>
        <v>110</v>
      </c>
      <c r="AB45">
        <f>LOOKUP(AA45,C5:C40,AB5:AB40)</f>
        <v>4.0388962340597946E-2</v>
      </c>
      <c r="AC45" t="s">
        <v>43</v>
      </c>
      <c r="AD45">
        <f>AB44-AD44*AA44</f>
        <v>0.68018120513101987</v>
      </c>
    </row>
    <row r="50" spans="29:35" x14ac:dyDescent="0.2">
      <c r="AC50" s="9"/>
      <c r="AD50" s="10"/>
      <c r="AE50" s="10"/>
    </row>
    <row r="51" spans="29:35" x14ac:dyDescent="0.2">
      <c r="AC51" s="10"/>
      <c r="AD51" s="10"/>
      <c r="AE51" s="10"/>
    </row>
    <row r="52" spans="29:35" x14ac:dyDescent="0.2">
      <c r="AC52" s="10"/>
      <c r="AD52" s="11"/>
      <c r="AE52" s="11"/>
    </row>
    <row r="53" spans="29:35" x14ac:dyDescent="0.2">
      <c r="AC53" s="10"/>
      <c r="AD53" s="11"/>
      <c r="AE53" s="11"/>
    </row>
    <row r="54" spans="29:35" x14ac:dyDescent="0.2">
      <c r="AC54" s="10"/>
      <c r="AD54" s="11"/>
      <c r="AE54" s="11"/>
    </row>
    <row r="55" spans="29:35" x14ac:dyDescent="0.2">
      <c r="AC55" s="10"/>
      <c r="AD55" s="11"/>
      <c r="AE55" s="11"/>
    </row>
    <row r="56" spans="29:35" x14ac:dyDescent="0.2">
      <c r="AC56" s="12"/>
      <c r="AD56" s="10"/>
      <c r="AE56" s="10"/>
    </row>
    <row r="57" spans="29:35" x14ac:dyDescent="0.2">
      <c r="AC57" s="12"/>
      <c r="AD57" s="11"/>
      <c r="AE57" s="8"/>
    </row>
    <row r="61" spans="29:35" x14ac:dyDescent="0.2">
      <c r="AG61" s="9"/>
      <c r="AH61" s="13"/>
      <c r="AI61" s="13"/>
    </row>
    <row r="62" spans="29:35" x14ac:dyDescent="0.2">
      <c r="AG62" s="13"/>
      <c r="AH62" s="13"/>
      <c r="AI62" s="13"/>
    </row>
    <row r="63" spans="29:35" x14ac:dyDescent="0.2">
      <c r="AG63" s="13"/>
      <c r="AH63" s="14"/>
      <c r="AI63" s="14"/>
    </row>
    <row r="64" spans="29:35" x14ac:dyDescent="0.2">
      <c r="AG64" s="13"/>
      <c r="AH64" s="14"/>
      <c r="AI64" s="14"/>
    </row>
  </sheetData>
  <phoneticPr fontId="1" type="noConversion"/>
  <pageMargins left="0.75" right="0.75" top="1" bottom="1" header="0.5" footer="0.5"/>
  <pageSetup orientation="portrait" r:id="rId1"/>
  <headerFooter alignWithMargins="0"/>
  <ignoredErrors>
    <ignoredError sqref="V5:V6 V7:V3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B1:AX47"/>
  <sheetViews>
    <sheetView zoomScale="75" workbookViewId="0">
      <selection activeCell="I20" sqref="I20"/>
    </sheetView>
  </sheetViews>
  <sheetFormatPr defaultRowHeight="12.75" x14ac:dyDescent="0.2"/>
  <cols>
    <col min="16" max="17" width="8.28515625" customWidth="1"/>
    <col min="18" max="18" width="13.140625" bestFit="1" customWidth="1"/>
    <col min="28" max="28" width="10.5703125" bestFit="1" customWidth="1"/>
    <col min="30" max="30" width="9.5703125" customWidth="1"/>
  </cols>
  <sheetData>
    <row r="1" spans="2:50" x14ac:dyDescent="0.2">
      <c r="J1" t="s">
        <v>49</v>
      </c>
      <c r="K1" t="s">
        <v>48</v>
      </c>
      <c r="L1" t="s">
        <v>50</v>
      </c>
    </row>
    <row r="2" spans="2:50" x14ac:dyDescent="0.2">
      <c r="J2" s="78">
        <v>1.8</v>
      </c>
      <c r="K2" s="78">
        <v>15</v>
      </c>
      <c r="L2">
        <f>J2/2^K2</f>
        <v>5.4931640625000001E-5</v>
      </c>
    </row>
    <row r="3" spans="2:50" x14ac:dyDescent="0.2">
      <c r="J3" t="s">
        <v>47</v>
      </c>
    </row>
    <row r="4" spans="2:50" x14ac:dyDescent="0.2">
      <c r="B4" s="5" t="s">
        <v>122</v>
      </c>
      <c r="C4" s="5" t="s">
        <v>4</v>
      </c>
      <c r="D4" s="5" t="str">
        <f>'Resistor Network'!AB4</f>
        <v>Vout/Vin</v>
      </c>
      <c r="E4" s="5" t="str">
        <f>'Resistor Network'!AC4</f>
        <v>Vout/Vin min</v>
      </c>
      <c r="F4" s="5" t="str">
        <f>'Resistor Network'!AD4</f>
        <v>Vout/Vin max</v>
      </c>
      <c r="G4" s="8"/>
      <c r="H4" s="8" t="s">
        <v>121</v>
      </c>
      <c r="J4" t="s">
        <v>44</v>
      </c>
      <c r="K4" t="s">
        <v>45</v>
      </c>
      <c r="L4" t="s">
        <v>46</v>
      </c>
      <c r="AD4" t="s">
        <v>104</v>
      </c>
      <c r="AH4" t="s">
        <v>105</v>
      </c>
      <c r="AK4" t="s">
        <v>106</v>
      </c>
      <c r="AL4" t="s">
        <v>107</v>
      </c>
      <c r="AN4" t="s">
        <v>108</v>
      </c>
      <c r="AR4" t="s">
        <v>105</v>
      </c>
      <c r="AU4" t="s">
        <v>106</v>
      </c>
      <c r="AV4" t="s">
        <v>107</v>
      </c>
    </row>
    <row r="5" spans="2:50" x14ac:dyDescent="0.2">
      <c r="B5" s="5">
        <f>Accuracy!D26</f>
        <v>25</v>
      </c>
      <c r="C5" s="5">
        <f>Accuracy!F4</f>
        <v>-40</v>
      </c>
      <c r="D5" s="5">
        <f>'Resistor Network'!AB5</f>
        <v>0.9128329297820823</v>
      </c>
      <c r="E5" s="5">
        <f>'Resistor Network'!AC5</f>
        <v>0.90882405813917466</v>
      </c>
      <c r="F5" s="5">
        <f>'Resistor Network'!AD5</f>
        <v>0.91668169663177046</v>
      </c>
      <c r="G5" s="8"/>
      <c r="H5" t="str">
        <f>ADDRESS(MATCH($B$5,$C$5:$C$40,0)+4,3)</f>
        <v>$C$18</v>
      </c>
      <c r="J5">
        <f>ROUND(D5*2^$K$2,0)</f>
        <v>29912</v>
      </c>
      <c r="K5">
        <f>ROUND(E5*2^$K$2,0)</f>
        <v>29780</v>
      </c>
      <c r="L5">
        <f>ROUND(F5*2^$K$2,0)</f>
        <v>30038</v>
      </c>
      <c r="N5" s="4">
        <f>J5/2^15</f>
        <v>0.912841796875</v>
      </c>
      <c r="O5" s="4">
        <f>K5/2^15</f>
        <v>0.9088134765625</v>
      </c>
      <c r="P5" s="4">
        <f>L5/2^15</f>
        <v>0.91668701171875</v>
      </c>
      <c r="Q5" s="4"/>
      <c r="R5" s="4">
        <f ca="1">N5/($R$42*N5^4+$R$43*N5^3+$R$44*N5^2+$R$45*N5+$R$46)*2^14</f>
        <v>0.85827558148198324</v>
      </c>
      <c r="S5" s="4">
        <f ca="1">O5/($R$42*O5^4+$R$43*O5^3+$R$44*O5^2+$R$45*O5+$R$46)*2^14</f>
        <v>0.85574020567593723</v>
      </c>
      <c r="T5" s="4">
        <f ca="1">P5/($R$42*P5^4+$R$43*P5^3+$R$44*P5^2+$R$45*P5+$R$46)*2^14</f>
        <v>0.86073104996246952</v>
      </c>
      <c r="V5" s="4">
        <f ca="1">R5</f>
        <v>0.85827558148198324</v>
      </c>
      <c r="W5" s="4">
        <f ca="1">S5</f>
        <v>0.85574020567593723</v>
      </c>
      <c r="X5" s="4">
        <f ca="1">T5</f>
        <v>0.86073104996246952</v>
      </c>
      <c r="Z5">
        <f ca="1">$Z$43*V5^3+$Z$44*V5^2+$Z$45*V5+$Z$46</f>
        <v>2337.2536895934668</v>
      </c>
      <c r="AA5">
        <f ca="1">$Z$43*W5^3+$Z$44*W5^2+$Z$45*W5+$Z$46</f>
        <v>2344.9996452315372</v>
      </c>
      <c r="AB5">
        <f ca="1">$Z$43*X5^3+$Z$44*X5^2+$Z$45*X5+$Z$46</f>
        <v>2329.7522322455616</v>
      </c>
      <c r="AC5" s="4"/>
      <c r="AD5" s="3">
        <f ca="1">ROUND(Z5/10-273.15,1)</f>
        <v>-39.4</v>
      </c>
      <c r="AE5" s="3">
        <f ca="1">ROUND(AA5/10-273.15,1)</f>
        <v>-38.700000000000003</v>
      </c>
      <c r="AF5" s="3">
        <f ca="1">ROUND(AB5/10-273.15,1)</f>
        <v>-40.200000000000003</v>
      </c>
      <c r="AG5" s="1"/>
      <c r="AH5" s="3">
        <f ca="1">AD5-$C5</f>
        <v>0.60000000000000142</v>
      </c>
      <c r="AI5" s="3">
        <f ca="1">AE5-$C5</f>
        <v>1.2999999999999972</v>
      </c>
      <c r="AJ5" s="3">
        <f ca="1">AF5-$C5</f>
        <v>-0.20000000000000284</v>
      </c>
      <c r="AK5" s="4">
        <f ca="1">MINA(AI5:AJ5)</f>
        <v>-0.20000000000000284</v>
      </c>
      <c r="AL5" s="4">
        <f ca="1">MAX(AI5:AJ5)</f>
        <v>1.2999999999999972</v>
      </c>
      <c r="AN5" s="4">
        <f ca="1">AD5-($AD$18-$B$5)</f>
        <v>-39.299999999999997</v>
      </c>
      <c r="AO5" s="4">
        <f ca="1">AE5-($AE$18-$B$5)</f>
        <v>-39.200000000000003</v>
      </c>
      <c r="AP5" s="4">
        <f ca="1">AF5-($AF$18-$B$5)</f>
        <v>-39.6</v>
      </c>
      <c r="AQ5" s="4"/>
      <c r="AR5" s="3">
        <f ca="1">AN5-$C5</f>
        <v>0.70000000000000284</v>
      </c>
      <c r="AS5" s="3">
        <f t="shared" ref="AS5:AS35" ca="1" si="0">AO5-$C5</f>
        <v>0.79999999999999716</v>
      </c>
      <c r="AT5" s="3">
        <f t="shared" ref="AT5:AT35" ca="1" si="1">AP5-$C5</f>
        <v>0.39999999999999858</v>
      </c>
      <c r="AU5" s="4">
        <f ca="1">MINA(AS5:AT5)</f>
        <v>0.39999999999999858</v>
      </c>
      <c r="AV5" s="4">
        <f ca="1">MAX(AS5:AT5)</f>
        <v>0.79999999999999716</v>
      </c>
      <c r="AW5" s="4"/>
      <c r="AX5" s="4"/>
    </row>
    <row r="6" spans="2:50" x14ac:dyDescent="0.2">
      <c r="C6" s="5">
        <f>Accuracy!F5</f>
        <v>-35</v>
      </c>
      <c r="D6" s="5">
        <f>'Resistor Network'!AB6</f>
        <v>0.8889574336829118</v>
      </c>
      <c r="E6" s="5">
        <f>'Resistor Network'!AC6</f>
        <v>0.88426522082672487</v>
      </c>
      <c r="F6" s="5">
        <f>'Resistor Network'!AD6</f>
        <v>0.89348232662647997</v>
      </c>
      <c r="G6" s="8"/>
      <c r="H6" s="8"/>
      <c r="J6">
        <f t="shared" ref="J6:J35" si="2">ROUND(D6*2^$K$2,0)</f>
        <v>29129</v>
      </c>
      <c r="K6">
        <f t="shared" ref="K6:K35" si="3">ROUND(E6*2^$K$2,0)</f>
        <v>28976</v>
      </c>
      <c r="L6">
        <f t="shared" ref="L6:L35" si="4">ROUND(F6*2^$K$2,0)</f>
        <v>29278</v>
      </c>
      <c r="N6" s="4">
        <f t="shared" ref="N6:N35" si="5">J6/2^15</f>
        <v>0.888946533203125</v>
      </c>
      <c r="O6" s="4">
        <f t="shared" ref="O6:O35" si="6">K6/2^15</f>
        <v>0.88427734375</v>
      </c>
      <c r="P6" s="4">
        <f t="shared" ref="P6:P35" si="7">L6/2^15</f>
        <v>0.89349365234375</v>
      </c>
      <c r="Q6" s="4"/>
      <c r="R6" s="4">
        <f t="shared" ref="R6:R35" ca="1" si="8">N6/($R$42*N6^4+$R$43*N6^3+$R$44*N6^2+$R$45*N6+$R$46)*2^14</f>
        <v>0.84376301388954711</v>
      </c>
      <c r="S6" s="4">
        <f t="shared" ref="S6:S34" ca="1" si="9">O6/($R$42*O6^4+$R$43*O6^3+$R$44*O6^2+$R$45*O6+$R$46)*2^14</f>
        <v>0.84106875352294252</v>
      </c>
      <c r="T6" s="4">
        <f t="shared" ref="T6:T34" ca="1" si="10">P6/($R$42*P6^4+$R$43*P6^3+$R$44*P6^2+$R$45*P6+$R$46)*2^14</f>
        <v>0.84642973429633495</v>
      </c>
      <c r="V6" s="4">
        <f t="shared" ref="V6:V35" ca="1" si="11">R6</f>
        <v>0.84376301388954711</v>
      </c>
      <c r="W6" s="4">
        <f t="shared" ref="W6:W35" ca="1" si="12">S6</f>
        <v>0.84106875352294252</v>
      </c>
      <c r="X6" s="4">
        <f t="shared" ref="X6:X35" ca="1" si="13">T6</f>
        <v>0.84642973429633495</v>
      </c>
      <c r="Z6">
        <f t="shared" ref="Z6:Z35" ca="1" si="14">$Z$43*V6^3+$Z$44*V6^2+$Z$45*V6+$Z$46</f>
        <v>2381.5968882644756</v>
      </c>
      <c r="AA6">
        <f t="shared" ref="AA6:AA35" ca="1" si="15">$Z$43*W6^3+$Z$44*W6^2+$Z$45*W6+$Z$46</f>
        <v>2389.8305454444835</v>
      </c>
      <c r="AB6">
        <f t="shared" ref="AB6:AB35" ca="1" si="16">$Z$43*X6^3+$Z$44*X6^2+$Z$45*X6+$Z$46</f>
        <v>2373.4477979452208</v>
      </c>
      <c r="AC6" s="4"/>
      <c r="AD6" s="3">
        <f t="shared" ref="AD6:AD35" ca="1" si="17">ROUND(Z6/10-273.15,1)</f>
        <v>-35</v>
      </c>
      <c r="AE6" s="3">
        <f t="shared" ref="AE6:AE35" ca="1" si="18">ROUND(AA6/10-273.15,1)</f>
        <v>-34.200000000000003</v>
      </c>
      <c r="AF6" s="3">
        <f t="shared" ref="AF6:AF35" ca="1" si="19">ROUND(AB6/10-273.15,1)</f>
        <v>-35.799999999999997</v>
      </c>
      <c r="AG6" s="1"/>
      <c r="AH6" s="3">
        <f t="shared" ref="AH6:AH35" ca="1" si="20">AD6-$C6</f>
        <v>0</v>
      </c>
      <c r="AI6" s="3">
        <f t="shared" ref="AI6:AI35" ca="1" si="21">AE6-$C6</f>
        <v>0.79999999999999716</v>
      </c>
      <c r="AJ6" s="3">
        <f t="shared" ref="AJ6:AJ35" ca="1" si="22">AF6-$C6</f>
        <v>-0.79999999999999716</v>
      </c>
      <c r="AK6" s="4">
        <f t="shared" ref="AK6:AK35" ca="1" si="23">MINA(AI6:AJ6)</f>
        <v>-0.79999999999999716</v>
      </c>
      <c r="AL6" s="4">
        <f t="shared" ref="AL6:AL35" ca="1" si="24">MAX(AI6:AJ6)</f>
        <v>0.79999999999999716</v>
      </c>
      <c r="AN6" s="4">
        <f t="shared" ref="AN6:AN35" ca="1" si="25">AD6-($AD$18-$B$5)</f>
        <v>-34.9</v>
      </c>
      <c r="AO6" s="4">
        <f t="shared" ref="AO6:AO35" ca="1" si="26">AE6-($AE$18-$B$5)</f>
        <v>-34.700000000000003</v>
      </c>
      <c r="AP6" s="4">
        <f t="shared" ref="AP6:AP35" ca="1" si="27">AF6-($AF$18-$B$5)</f>
        <v>-35.199999999999996</v>
      </c>
      <c r="AQ6" s="4"/>
      <c r="AR6" s="3">
        <f t="shared" ref="AR6:AR35" ca="1" si="28">AN6-$C6</f>
        <v>0.10000000000000142</v>
      </c>
      <c r="AS6" s="3">
        <f t="shared" ca="1" si="0"/>
        <v>0.29999999999999716</v>
      </c>
      <c r="AT6" s="3">
        <f t="shared" ca="1" si="1"/>
        <v>-0.19999999999999574</v>
      </c>
      <c r="AU6" s="4">
        <f t="shared" ref="AU6:AU35" ca="1" si="29">MINA(AS6:AT6)</f>
        <v>-0.19999999999999574</v>
      </c>
      <c r="AV6" s="4">
        <f t="shared" ref="AV6:AV35" ca="1" si="30">MAX(AS6:AT6)</f>
        <v>0.29999999999999716</v>
      </c>
      <c r="AW6" s="4"/>
      <c r="AX6" s="4"/>
    </row>
    <row r="7" spans="2:50" x14ac:dyDescent="0.2">
      <c r="C7" s="5">
        <f>Accuracy!F6</f>
        <v>-30</v>
      </c>
      <c r="D7" s="5">
        <f>'Resistor Network'!AB7</f>
        <v>0.86078886310904867</v>
      </c>
      <c r="E7" s="5">
        <f>'Resistor Network'!AC7</f>
        <v>0.85542009933753249</v>
      </c>
      <c r="F7" s="5">
        <f>'Resistor Network'!AD7</f>
        <v>0.8659894976856144</v>
      </c>
      <c r="G7" s="8"/>
      <c r="H7" s="8"/>
      <c r="J7">
        <f t="shared" si="2"/>
        <v>28206</v>
      </c>
      <c r="K7">
        <f t="shared" si="3"/>
        <v>28030</v>
      </c>
      <c r="L7">
        <f t="shared" si="4"/>
        <v>28377</v>
      </c>
      <c r="N7" s="4">
        <f t="shared" si="5"/>
        <v>0.86077880859375</v>
      </c>
      <c r="O7" s="4">
        <f t="shared" si="6"/>
        <v>0.85540771484375</v>
      </c>
      <c r="P7" s="4">
        <f t="shared" si="7"/>
        <v>0.865997314453125</v>
      </c>
      <c r="Q7" s="4"/>
      <c r="R7" s="4">
        <f t="shared" ca="1" si="8"/>
        <v>0.82814777870249401</v>
      </c>
      <c r="S7" s="4">
        <f t="shared" ca="1" si="9"/>
        <v>0.82533500661905046</v>
      </c>
      <c r="T7" s="4">
        <f t="shared" ca="1" si="10"/>
        <v>0.83092905893354607</v>
      </c>
      <c r="V7" s="4">
        <f t="shared" ca="1" si="11"/>
        <v>0.82814777870249401</v>
      </c>
      <c r="W7" s="4">
        <f t="shared" ca="1" si="12"/>
        <v>0.82533500661905046</v>
      </c>
      <c r="X7" s="4">
        <f t="shared" ca="1" si="13"/>
        <v>0.83092905893354607</v>
      </c>
      <c r="Z7">
        <f t="shared" ca="1" si="14"/>
        <v>2429.3225901243004</v>
      </c>
      <c r="AA7">
        <f t="shared" ca="1" si="15"/>
        <v>2437.9208136111347</v>
      </c>
      <c r="AB7">
        <f t="shared" ca="1" si="16"/>
        <v>2420.8210424159115</v>
      </c>
      <c r="AC7" s="4"/>
      <c r="AD7" s="3">
        <f t="shared" ca="1" si="17"/>
        <v>-30.2</v>
      </c>
      <c r="AE7" s="3">
        <f t="shared" ca="1" si="18"/>
        <v>-29.4</v>
      </c>
      <c r="AF7" s="3">
        <f t="shared" ca="1" si="19"/>
        <v>-31.1</v>
      </c>
      <c r="AG7" s="1"/>
      <c r="AH7" s="3">
        <f t="shared" ca="1" si="20"/>
        <v>-0.19999999999999929</v>
      </c>
      <c r="AI7" s="3">
        <f t="shared" ca="1" si="21"/>
        <v>0.60000000000000142</v>
      </c>
      <c r="AJ7" s="3">
        <f t="shared" ca="1" si="22"/>
        <v>-1.1000000000000014</v>
      </c>
      <c r="AK7" s="4">
        <f t="shared" ca="1" si="23"/>
        <v>-1.1000000000000014</v>
      </c>
      <c r="AL7" s="4">
        <f t="shared" ca="1" si="24"/>
        <v>0.60000000000000142</v>
      </c>
      <c r="AN7" s="4">
        <f t="shared" ca="1" si="25"/>
        <v>-30.099999999999998</v>
      </c>
      <c r="AO7" s="4">
        <f t="shared" ca="1" si="26"/>
        <v>-29.9</v>
      </c>
      <c r="AP7" s="4">
        <f t="shared" ca="1" si="27"/>
        <v>-30.5</v>
      </c>
      <c r="AQ7" s="4"/>
      <c r="AR7" s="3">
        <f t="shared" ca="1" si="28"/>
        <v>-9.9999999999997868E-2</v>
      </c>
      <c r="AS7" s="3">
        <f t="shared" ca="1" si="0"/>
        <v>0.10000000000000142</v>
      </c>
      <c r="AT7" s="3">
        <f t="shared" ca="1" si="1"/>
        <v>-0.5</v>
      </c>
      <c r="AU7" s="4">
        <f t="shared" ca="1" si="29"/>
        <v>-0.5</v>
      </c>
      <c r="AV7" s="4">
        <f t="shared" ca="1" si="30"/>
        <v>0.10000000000000142</v>
      </c>
      <c r="AW7" s="4"/>
      <c r="AX7" s="4"/>
    </row>
    <row r="8" spans="2:50" x14ac:dyDescent="0.2">
      <c r="C8" s="5">
        <f>Accuracy!F7</f>
        <v>-25</v>
      </c>
      <c r="D8" s="5">
        <f>'Resistor Network'!AB8</f>
        <v>0.82763573685722491</v>
      </c>
      <c r="E8" s="5">
        <f>'Resistor Network'!AC8</f>
        <v>0.82162483950897558</v>
      </c>
      <c r="F8" s="5">
        <f>'Resistor Network'!AD8</f>
        <v>0.83348512960652765</v>
      </c>
      <c r="G8" s="8"/>
      <c r="H8" s="8"/>
      <c r="J8">
        <f t="shared" si="2"/>
        <v>27120</v>
      </c>
      <c r="K8">
        <f t="shared" si="3"/>
        <v>26923</v>
      </c>
      <c r="L8">
        <f t="shared" si="4"/>
        <v>27312</v>
      </c>
      <c r="N8" s="4">
        <f t="shared" si="5"/>
        <v>0.82763671875</v>
      </c>
      <c r="O8" s="4">
        <f t="shared" si="6"/>
        <v>0.821624755859375</v>
      </c>
      <c r="P8" s="4">
        <f t="shared" si="7"/>
        <v>0.83349609375</v>
      </c>
      <c r="Q8" s="4"/>
      <c r="R8" s="4">
        <f t="shared" ca="1" si="8"/>
        <v>0.81154299484273962</v>
      </c>
      <c r="S8" s="4">
        <f t="shared" ca="1" si="9"/>
        <v>0.8087112691051187</v>
      </c>
      <c r="T8" s="4">
        <f t="shared" ca="1" si="10"/>
        <v>0.81435341248280335</v>
      </c>
      <c r="V8" s="4">
        <f t="shared" ca="1" si="11"/>
        <v>0.81154299484273962</v>
      </c>
      <c r="W8" s="4">
        <f t="shared" ca="1" si="12"/>
        <v>0.8087112691051187</v>
      </c>
      <c r="X8" s="4">
        <f t="shared" ca="1" si="13"/>
        <v>0.81435341248280335</v>
      </c>
      <c r="Z8">
        <f t="shared" ca="1" si="14"/>
        <v>2480.0867773762461</v>
      </c>
      <c r="AA8">
        <f t="shared" ca="1" si="15"/>
        <v>2488.7453032438029</v>
      </c>
      <c r="AB8">
        <f t="shared" ca="1" si="16"/>
        <v>2471.4937895459007</v>
      </c>
      <c r="AC8" s="4"/>
      <c r="AD8" s="3">
        <f t="shared" ca="1" si="17"/>
        <v>-25.1</v>
      </c>
      <c r="AE8" s="3">
        <f t="shared" ca="1" si="18"/>
        <v>-24.3</v>
      </c>
      <c r="AF8" s="3">
        <f t="shared" ca="1" si="19"/>
        <v>-26</v>
      </c>
      <c r="AG8" s="1"/>
      <c r="AH8" s="3">
        <f t="shared" ca="1" si="20"/>
        <v>-0.10000000000000142</v>
      </c>
      <c r="AI8" s="3">
        <f t="shared" ca="1" si="21"/>
        <v>0.69999999999999929</v>
      </c>
      <c r="AJ8" s="3">
        <f t="shared" ca="1" si="22"/>
        <v>-1</v>
      </c>
      <c r="AK8" s="4">
        <f t="shared" ca="1" si="23"/>
        <v>-1</v>
      </c>
      <c r="AL8" s="4">
        <f t="shared" ca="1" si="24"/>
        <v>0.69999999999999929</v>
      </c>
      <c r="AN8" s="4">
        <f t="shared" ca="1" si="25"/>
        <v>-25</v>
      </c>
      <c r="AO8" s="4">
        <f t="shared" ca="1" si="26"/>
        <v>-24.8</v>
      </c>
      <c r="AP8" s="4">
        <f t="shared" ca="1" si="27"/>
        <v>-25.4</v>
      </c>
      <c r="AQ8" s="4"/>
      <c r="AR8" s="3">
        <f t="shared" ca="1" si="28"/>
        <v>0</v>
      </c>
      <c r="AS8" s="3">
        <f t="shared" ca="1" si="0"/>
        <v>0.19999999999999929</v>
      </c>
      <c r="AT8" s="3">
        <f t="shared" ca="1" si="1"/>
        <v>-0.39999999999999858</v>
      </c>
      <c r="AU8" s="4">
        <f t="shared" ca="1" si="29"/>
        <v>-0.39999999999999858</v>
      </c>
      <c r="AV8" s="4">
        <f t="shared" ca="1" si="30"/>
        <v>0.19999999999999929</v>
      </c>
      <c r="AW8" s="4"/>
      <c r="AX8" s="4"/>
    </row>
    <row r="9" spans="2:50" x14ac:dyDescent="0.2">
      <c r="C9" s="5">
        <f>Accuracy!F8</f>
        <v>-20</v>
      </c>
      <c r="D9" s="5">
        <f>'Resistor Network'!AB9</f>
        <v>0.79013641133263379</v>
      </c>
      <c r="E9" s="5">
        <f>'Resistor Network'!AC9</f>
        <v>0.78357315742661515</v>
      </c>
      <c r="F9" s="5">
        <f>'Resistor Network'!AD9</f>
        <v>0.79655230861299919</v>
      </c>
      <c r="G9" s="8"/>
      <c r="H9" s="8"/>
      <c r="J9">
        <f t="shared" si="2"/>
        <v>25891</v>
      </c>
      <c r="K9">
        <f t="shared" si="3"/>
        <v>25676</v>
      </c>
      <c r="L9">
        <f t="shared" si="4"/>
        <v>26101</v>
      </c>
      <c r="N9" s="4">
        <f t="shared" si="5"/>
        <v>0.790130615234375</v>
      </c>
      <c r="O9" s="4">
        <f t="shared" si="6"/>
        <v>0.7835693359375</v>
      </c>
      <c r="P9" s="4">
        <f t="shared" si="7"/>
        <v>0.796539306640625</v>
      </c>
      <c r="Q9" s="4"/>
      <c r="R9" s="4">
        <f t="shared" ca="1" si="8"/>
        <v>0.7946674048351039</v>
      </c>
      <c r="S9" s="4">
        <f t="shared" ca="1" si="9"/>
        <v>0.79189475718566238</v>
      </c>
      <c r="T9" s="4">
        <f t="shared" ca="1" si="10"/>
        <v>0.79742400572284933</v>
      </c>
      <c r="V9" s="4">
        <f t="shared" ca="1" si="11"/>
        <v>0.7946674048351039</v>
      </c>
      <c r="W9" s="4">
        <f t="shared" ca="1" si="12"/>
        <v>0.79189475718566238</v>
      </c>
      <c r="X9" s="4">
        <f t="shared" ca="1" si="13"/>
        <v>0.79742400572284933</v>
      </c>
      <c r="Z9">
        <f t="shared" ca="1" si="14"/>
        <v>2531.6925712143916</v>
      </c>
      <c r="AA9">
        <f t="shared" ca="1" si="15"/>
        <v>2540.1726048463156</v>
      </c>
      <c r="AB9">
        <f t="shared" ca="1" si="16"/>
        <v>2523.2619532356985</v>
      </c>
      <c r="AC9" s="4"/>
      <c r="AD9" s="3">
        <f t="shared" ca="1" si="17"/>
        <v>-20</v>
      </c>
      <c r="AE9" s="3">
        <f t="shared" ca="1" si="18"/>
        <v>-19.100000000000001</v>
      </c>
      <c r="AF9" s="3">
        <f t="shared" ca="1" si="19"/>
        <v>-20.8</v>
      </c>
      <c r="AG9" s="1"/>
      <c r="AH9" s="3">
        <f t="shared" ca="1" si="20"/>
        <v>0</v>
      </c>
      <c r="AI9" s="3">
        <f t="shared" ca="1" si="21"/>
        <v>0.89999999999999858</v>
      </c>
      <c r="AJ9" s="3">
        <f t="shared" ca="1" si="22"/>
        <v>-0.80000000000000071</v>
      </c>
      <c r="AK9" s="4">
        <f t="shared" ca="1" si="23"/>
        <v>-0.80000000000000071</v>
      </c>
      <c r="AL9" s="4">
        <f t="shared" ca="1" si="24"/>
        <v>0.89999999999999858</v>
      </c>
      <c r="AN9" s="4">
        <f t="shared" ca="1" si="25"/>
        <v>-19.899999999999999</v>
      </c>
      <c r="AO9" s="4">
        <f t="shared" ca="1" si="26"/>
        <v>-19.600000000000001</v>
      </c>
      <c r="AP9" s="4">
        <f t="shared" ca="1" si="27"/>
        <v>-20.2</v>
      </c>
      <c r="AQ9" s="4"/>
      <c r="AR9" s="3">
        <f t="shared" ca="1" si="28"/>
        <v>0.10000000000000142</v>
      </c>
      <c r="AS9" s="3">
        <f t="shared" ca="1" si="0"/>
        <v>0.39999999999999858</v>
      </c>
      <c r="AT9" s="3">
        <f t="shared" ca="1" si="1"/>
        <v>-0.19999999999999929</v>
      </c>
      <c r="AU9" s="4">
        <f t="shared" ca="1" si="29"/>
        <v>-0.19999999999999929</v>
      </c>
      <c r="AV9" s="4">
        <f t="shared" ca="1" si="30"/>
        <v>0.39999999999999858</v>
      </c>
      <c r="AW9" s="4"/>
      <c r="AX9" s="4"/>
    </row>
    <row r="10" spans="2:50" x14ac:dyDescent="0.2">
      <c r="C10" s="5">
        <f>Accuracy!F9</f>
        <v>-15</v>
      </c>
      <c r="D10" s="5">
        <f>'Resistor Network'!AB10</f>
        <v>0.74793446296036969</v>
      </c>
      <c r="E10" s="5">
        <f>'Resistor Network'!AC10</f>
        <v>0.74094220460777582</v>
      </c>
      <c r="F10" s="5">
        <f>'Resistor Network'!AD10</f>
        <v>0.75480044839371063</v>
      </c>
      <c r="G10" s="8"/>
      <c r="H10" s="8"/>
      <c r="J10">
        <f t="shared" si="2"/>
        <v>24508</v>
      </c>
      <c r="K10">
        <f t="shared" si="3"/>
        <v>24279</v>
      </c>
      <c r="L10">
        <f t="shared" si="4"/>
        <v>24733</v>
      </c>
      <c r="N10" s="4">
        <f t="shared" si="5"/>
        <v>0.7479248046875</v>
      </c>
      <c r="O10" s="4">
        <f t="shared" si="6"/>
        <v>0.740936279296875</v>
      </c>
      <c r="P10" s="4">
        <f t="shared" si="7"/>
        <v>0.754791259765625</v>
      </c>
      <c r="Q10" s="4"/>
      <c r="R10" s="4">
        <f t="shared" ca="1" si="8"/>
        <v>0.77762556816073514</v>
      </c>
      <c r="S10" s="4">
        <f t="shared" ca="1" si="9"/>
        <v>0.77496921916107464</v>
      </c>
      <c r="T10" s="4">
        <f t="shared" ca="1" si="10"/>
        <v>0.78027776981459551</v>
      </c>
      <c r="V10" s="4">
        <f t="shared" ca="1" si="11"/>
        <v>0.77762556816073514</v>
      </c>
      <c r="W10" s="4">
        <f t="shared" ca="1" si="12"/>
        <v>0.77496921916107464</v>
      </c>
      <c r="X10" s="4">
        <f t="shared" ca="1" si="13"/>
        <v>0.78027776981459551</v>
      </c>
      <c r="Z10">
        <f t="shared" ca="1" si="14"/>
        <v>2583.8195360589411</v>
      </c>
      <c r="AA10">
        <f t="shared" ca="1" si="15"/>
        <v>2591.9457591651494</v>
      </c>
      <c r="AB10">
        <f t="shared" ca="1" si="16"/>
        <v>2575.7062817029496</v>
      </c>
      <c r="AC10" s="4"/>
      <c r="AD10" s="3">
        <f t="shared" ca="1" si="17"/>
        <v>-14.8</v>
      </c>
      <c r="AE10" s="3">
        <f t="shared" ca="1" si="18"/>
        <v>-14</v>
      </c>
      <c r="AF10" s="3">
        <f t="shared" ca="1" si="19"/>
        <v>-15.6</v>
      </c>
      <c r="AG10" s="1"/>
      <c r="AH10" s="3">
        <f t="shared" ca="1" si="20"/>
        <v>0.19999999999999929</v>
      </c>
      <c r="AI10" s="3">
        <f t="shared" ca="1" si="21"/>
        <v>1</v>
      </c>
      <c r="AJ10" s="3">
        <f t="shared" ca="1" si="22"/>
        <v>-0.59999999999999964</v>
      </c>
      <c r="AK10" s="4">
        <f t="shared" ca="1" si="23"/>
        <v>-0.59999999999999964</v>
      </c>
      <c r="AL10" s="4">
        <f t="shared" ca="1" si="24"/>
        <v>1</v>
      </c>
      <c r="AN10" s="4">
        <f t="shared" ca="1" si="25"/>
        <v>-14.7</v>
      </c>
      <c r="AO10" s="4">
        <f t="shared" ca="1" si="26"/>
        <v>-14.5</v>
      </c>
      <c r="AP10" s="4">
        <f t="shared" ca="1" si="27"/>
        <v>-14.999999999999998</v>
      </c>
      <c r="AQ10" s="4"/>
      <c r="AR10" s="3">
        <f t="shared" ca="1" si="28"/>
        <v>0.30000000000000071</v>
      </c>
      <c r="AS10" s="3">
        <f t="shared" ca="1" si="0"/>
        <v>0.5</v>
      </c>
      <c r="AT10" s="3">
        <f t="shared" ca="1" si="1"/>
        <v>0</v>
      </c>
      <c r="AU10" s="4">
        <f t="shared" ca="1" si="29"/>
        <v>0</v>
      </c>
      <c r="AV10" s="4">
        <f t="shared" ca="1" si="30"/>
        <v>0.5</v>
      </c>
      <c r="AW10" s="4"/>
      <c r="AX10" s="4"/>
    </row>
    <row r="11" spans="2:50" x14ac:dyDescent="0.2">
      <c r="C11" s="5">
        <f>Accuracy!F10</f>
        <v>-10</v>
      </c>
      <c r="D11" s="5">
        <f>'Resistor Network'!AB11</f>
        <v>0.70233173474450139</v>
      </c>
      <c r="E11" s="5">
        <f>'Resistor Network'!AC11</f>
        <v>0.69507700977747078</v>
      </c>
      <c r="F11" s="5">
        <f>'Resistor Network'!AD11</f>
        <v>0.70948599698064863</v>
      </c>
      <c r="G11" s="8"/>
      <c r="H11" s="8"/>
      <c r="J11">
        <f t="shared" si="2"/>
        <v>23014</v>
      </c>
      <c r="K11">
        <f t="shared" si="3"/>
        <v>22776</v>
      </c>
      <c r="L11">
        <f t="shared" si="4"/>
        <v>23248</v>
      </c>
      <c r="N11" s="4">
        <f t="shared" si="5"/>
        <v>0.70233154296875</v>
      </c>
      <c r="O11" s="4">
        <f t="shared" si="6"/>
        <v>0.695068359375</v>
      </c>
      <c r="P11" s="4">
        <f t="shared" si="7"/>
        <v>0.70947265625</v>
      </c>
      <c r="Q11" s="4"/>
      <c r="R11" s="4">
        <f t="shared" ca="1" si="8"/>
        <v>0.76098710089047428</v>
      </c>
      <c r="S11" s="4">
        <f t="shared" ca="1" si="9"/>
        <v>0.75847099032187693</v>
      </c>
      <c r="T11" s="4">
        <f t="shared" ca="1" si="10"/>
        <v>0.76349335941441965</v>
      </c>
      <c r="V11" s="4">
        <f t="shared" ca="1" si="11"/>
        <v>0.76098710089047428</v>
      </c>
      <c r="W11" s="4">
        <f t="shared" ca="1" si="12"/>
        <v>0.75847099032187693</v>
      </c>
      <c r="X11" s="4">
        <f t="shared" ca="1" si="13"/>
        <v>0.76349335941441965</v>
      </c>
      <c r="Z11">
        <f t="shared" ca="1" si="14"/>
        <v>2634.7238954134764</v>
      </c>
      <c r="AA11">
        <f t="shared" ca="1" si="15"/>
        <v>2642.4226702729979</v>
      </c>
      <c r="AB11">
        <f t="shared" ca="1" si="16"/>
        <v>2627.0554908726294</v>
      </c>
      <c r="AC11" s="4"/>
      <c r="AD11" s="3">
        <f t="shared" ca="1" si="17"/>
        <v>-9.6999999999999993</v>
      </c>
      <c r="AE11" s="3">
        <f t="shared" ca="1" si="18"/>
        <v>-8.9</v>
      </c>
      <c r="AF11" s="3">
        <f t="shared" ca="1" si="19"/>
        <v>-10.4</v>
      </c>
      <c r="AG11" s="1"/>
      <c r="AH11" s="3">
        <f t="shared" ca="1" si="20"/>
        <v>0.30000000000000071</v>
      </c>
      <c r="AI11" s="3">
        <f t="shared" ca="1" si="21"/>
        <v>1.0999999999999996</v>
      </c>
      <c r="AJ11" s="3">
        <f t="shared" ca="1" si="22"/>
        <v>-0.40000000000000036</v>
      </c>
      <c r="AK11" s="4">
        <f t="shared" ca="1" si="23"/>
        <v>-0.40000000000000036</v>
      </c>
      <c r="AL11" s="4">
        <f t="shared" ca="1" si="24"/>
        <v>1.0999999999999996</v>
      </c>
      <c r="AN11" s="4">
        <f t="shared" ca="1" si="25"/>
        <v>-9.5999999999999979</v>
      </c>
      <c r="AO11" s="4">
        <f t="shared" ca="1" si="26"/>
        <v>-9.4</v>
      </c>
      <c r="AP11" s="4">
        <f t="shared" ca="1" si="27"/>
        <v>-9.7999999999999989</v>
      </c>
      <c r="AQ11" s="4"/>
      <c r="AR11" s="3">
        <f t="shared" ca="1" si="28"/>
        <v>0.40000000000000213</v>
      </c>
      <c r="AS11" s="3">
        <f t="shared" ca="1" si="0"/>
        <v>0.59999999999999964</v>
      </c>
      <c r="AT11" s="3">
        <f t="shared" ca="1" si="1"/>
        <v>0.20000000000000107</v>
      </c>
      <c r="AU11" s="4">
        <f t="shared" ca="1" si="29"/>
        <v>0.20000000000000107</v>
      </c>
      <c r="AV11" s="4">
        <f t="shared" ca="1" si="30"/>
        <v>0.59999999999999964</v>
      </c>
      <c r="AW11" s="4"/>
      <c r="AX11" s="4"/>
    </row>
    <row r="12" spans="2:50" x14ac:dyDescent="0.2">
      <c r="C12" s="5">
        <f>Accuracy!F11</f>
        <v>-5</v>
      </c>
      <c r="D12" s="5">
        <f>'Resistor Network'!AB12</f>
        <v>0.65317919075144504</v>
      </c>
      <c r="E12" s="5">
        <f>'Resistor Network'!AC12</f>
        <v>0.64584715555707217</v>
      </c>
      <c r="F12" s="5">
        <f>'Resistor Network'!AD12</f>
        <v>0.6604392385767861</v>
      </c>
      <c r="G12" s="8"/>
      <c r="H12" s="8"/>
      <c r="J12">
        <f t="shared" si="2"/>
        <v>21403</v>
      </c>
      <c r="K12">
        <f t="shared" si="3"/>
        <v>21163</v>
      </c>
      <c r="L12">
        <f t="shared" si="4"/>
        <v>21641</v>
      </c>
      <c r="N12" s="4">
        <f t="shared" si="5"/>
        <v>0.653167724609375</v>
      </c>
      <c r="O12" s="4">
        <f t="shared" si="6"/>
        <v>0.645843505859375</v>
      </c>
      <c r="P12" s="4">
        <f t="shared" si="7"/>
        <v>0.660430908203125</v>
      </c>
      <c r="Q12" s="4"/>
      <c r="R12" s="4">
        <f t="shared" ca="1" si="8"/>
        <v>0.74450698025761786</v>
      </c>
      <c r="S12" s="4">
        <f t="shared" ca="1" si="9"/>
        <v>0.74214598245418051</v>
      </c>
      <c r="T12" s="4">
        <f t="shared" ca="1" si="10"/>
        <v>0.74686887999961959</v>
      </c>
      <c r="V12" s="4">
        <f t="shared" ca="1" si="11"/>
        <v>0.74450698025761786</v>
      </c>
      <c r="W12" s="4">
        <f t="shared" ca="1" si="12"/>
        <v>0.74214598245418051</v>
      </c>
      <c r="X12" s="4">
        <f t="shared" ca="1" si="13"/>
        <v>0.74686887999961959</v>
      </c>
      <c r="Z12">
        <f t="shared" ca="1" si="14"/>
        <v>2685.1535679368662</v>
      </c>
      <c r="AA12">
        <f t="shared" ca="1" si="15"/>
        <v>2692.3790229065139</v>
      </c>
      <c r="AB12">
        <f t="shared" ca="1" si="16"/>
        <v>2677.925529066436</v>
      </c>
      <c r="AC12" s="4"/>
      <c r="AD12" s="3">
        <f t="shared" ca="1" si="17"/>
        <v>-4.5999999999999996</v>
      </c>
      <c r="AE12" s="3">
        <f t="shared" ca="1" si="18"/>
        <v>-3.9</v>
      </c>
      <c r="AF12" s="3">
        <f t="shared" ca="1" si="19"/>
        <v>-5.4</v>
      </c>
      <c r="AG12" s="1"/>
      <c r="AH12" s="3">
        <f t="shared" ca="1" si="20"/>
        <v>0.40000000000000036</v>
      </c>
      <c r="AI12" s="3">
        <f t="shared" ca="1" si="21"/>
        <v>1.1000000000000001</v>
      </c>
      <c r="AJ12" s="3">
        <f t="shared" ca="1" si="22"/>
        <v>-0.40000000000000036</v>
      </c>
      <c r="AK12" s="4">
        <f t="shared" ca="1" si="23"/>
        <v>-0.40000000000000036</v>
      </c>
      <c r="AL12" s="4">
        <f t="shared" ca="1" si="24"/>
        <v>1.1000000000000001</v>
      </c>
      <c r="AN12" s="4">
        <f t="shared" ca="1" si="25"/>
        <v>-4.4999999999999982</v>
      </c>
      <c r="AO12" s="4">
        <f t="shared" ca="1" si="26"/>
        <v>-4.4000000000000004</v>
      </c>
      <c r="AP12" s="4">
        <f t="shared" ca="1" si="27"/>
        <v>-4.7999999999999989</v>
      </c>
      <c r="AQ12" s="4"/>
      <c r="AR12" s="3">
        <f t="shared" ca="1" si="28"/>
        <v>0.50000000000000178</v>
      </c>
      <c r="AS12" s="3">
        <f t="shared" ca="1" si="0"/>
        <v>0.59999999999999964</v>
      </c>
      <c r="AT12" s="3">
        <f t="shared" ca="1" si="1"/>
        <v>0.20000000000000107</v>
      </c>
      <c r="AU12" s="4">
        <f t="shared" ca="1" si="29"/>
        <v>0.20000000000000107</v>
      </c>
      <c r="AV12" s="4">
        <f t="shared" ca="1" si="30"/>
        <v>0.59999999999999964</v>
      </c>
      <c r="AW12" s="4"/>
      <c r="AX12" s="4"/>
    </row>
    <row r="13" spans="2:50" x14ac:dyDescent="0.2">
      <c r="C13" s="5">
        <f>Accuracy!F12</f>
        <v>0</v>
      </c>
      <c r="D13" s="5">
        <f>'Resistor Network'!AB13</f>
        <v>0.6024734982332155</v>
      </c>
      <c r="E13" s="5">
        <f>'Resistor Network'!AC13</f>
        <v>0.59525815010645877</v>
      </c>
      <c r="F13" s="5">
        <f>'Resistor Network'!AD13</f>
        <v>0.60964456929352651</v>
      </c>
      <c r="G13" s="8"/>
      <c r="H13" s="8"/>
      <c r="J13">
        <f t="shared" si="2"/>
        <v>19742</v>
      </c>
      <c r="K13">
        <f t="shared" si="3"/>
        <v>19505</v>
      </c>
      <c r="L13">
        <f t="shared" si="4"/>
        <v>19977</v>
      </c>
      <c r="N13" s="4">
        <f t="shared" si="5"/>
        <v>0.60247802734375</v>
      </c>
      <c r="O13" s="4">
        <f t="shared" si="6"/>
        <v>0.595245361328125</v>
      </c>
      <c r="P13" s="4">
        <f t="shared" si="7"/>
        <v>0.609649658203125</v>
      </c>
      <c r="Q13" s="4"/>
      <c r="R13" s="4">
        <f t="shared" ca="1" si="8"/>
        <v>0.72849822984458157</v>
      </c>
      <c r="S13" s="4">
        <f t="shared" ca="1" si="9"/>
        <v>0.72626179255302192</v>
      </c>
      <c r="T13" s="4">
        <f t="shared" ca="1" si="10"/>
        <v>0.73072437311218963</v>
      </c>
      <c r="V13" s="4">
        <f t="shared" ca="1" si="11"/>
        <v>0.72849822984458157</v>
      </c>
      <c r="W13" s="4">
        <f t="shared" ca="1" si="12"/>
        <v>0.72626179255302192</v>
      </c>
      <c r="X13" s="4">
        <f t="shared" ca="1" si="13"/>
        <v>0.73072437311218963</v>
      </c>
      <c r="Z13">
        <f t="shared" ca="1" si="14"/>
        <v>2734.1490652629682</v>
      </c>
      <c r="AA13">
        <f t="shared" ca="1" si="15"/>
        <v>2740.9943680401739</v>
      </c>
      <c r="AB13">
        <f t="shared" ca="1" si="16"/>
        <v>2727.3354075037105</v>
      </c>
      <c r="AC13" s="4"/>
      <c r="AD13" s="3">
        <f t="shared" ca="1" si="17"/>
        <v>0.3</v>
      </c>
      <c r="AE13" s="3">
        <f t="shared" ca="1" si="18"/>
        <v>0.9</v>
      </c>
      <c r="AF13" s="3">
        <f t="shared" ca="1" si="19"/>
        <v>-0.4</v>
      </c>
      <c r="AG13" s="1"/>
      <c r="AH13" s="3">
        <f t="shared" ca="1" si="20"/>
        <v>0.3</v>
      </c>
      <c r="AI13" s="3">
        <f t="shared" ca="1" si="21"/>
        <v>0.9</v>
      </c>
      <c r="AJ13" s="3">
        <f t="shared" ca="1" si="22"/>
        <v>-0.4</v>
      </c>
      <c r="AK13" s="4">
        <f t="shared" ca="1" si="23"/>
        <v>-0.4</v>
      </c>
      <c r="AL13" s="4">
        <f t="shared" ca="1" si="24"/>
        <v>0.9</v>
      </c>
      <c r="AN13" s="4">
        <f t="shared" ca="1" si="25"/>
        <v>0.40000000000000141</v>
      </c>
      <c r="AO13" s="4">
        <f t="shared" ca="1" si="26"/>
        <v>0.4</v>
      </c>
      <c r="AP13" s="4">
        <f t="shared" ca="1" si="27"/>
        <v>0.2000000000000014</v>
      </c>
      <c r="AQ13" s="4"/>
      <c r="AR13" s="3">
        <f t="shared" ca="1" si="28"/>
        <v>0.40000000000000141</v>
      </c>
      <c r="AS13" s="3">
        <f t="shared" ca="1" si="0"/>
        <v>0.4</v>
      </c>
      <c r="AT13" s="3">
        <f t="shared" ca="1" si="1"/>
        <v>0.2000000000000014</v>
      </c>
      <c r="AU13" s="4">
        <f t="shared" ca="1" si="29"/>
        <v>0.2000000000000014</v>
      </c>
      <c r="AV13" s="4">
        <f t="shared" ca="1" si="30"/>
        <v>0.4</v>
      </c>
      <c r="AW13" s="4"/>
      <c r="AX13" s="4"/>
    </row>
    <row r="14" spans="2:50" x14ac:dyDescent="0.2">
      <c r="C14" s="5">
        <f>Accuracy!F13</f>
        <v>5</v>
      </c>
      <c r="D14" s="5">
        <f>'Resistor Network'!AB14</f>
        <v>0.550561797752809</v>
      </c>
      <c r="E14" s="5">
        <f>'Resistor Network'!AC14</f>
        <v>0.54364685011880221</v>
      </c>
      <c r="F14" s="5">
        <f>'Resistor Network'!AD14</f>
        <v>0.55745725911887645</v>
      </c>
      <c r="G14" s="8"/>
      <c r="H14" s="8"/>
      <c r="J14">
        <f t="shared" si="2"/>
        <v>18041</v>
      </c>
      <c r="K14">
        <f t="shared" si="3"/>
        <v>17814</v>
      </c>
      <c r="L14">
        <f t="shared" si="4"/>
        <v>18267</v>
      </c>
      <c r="N14" s="4">
        <f t="shared" si="5"/>
        <v>0.550567626953125</v>
      </c>
      <c r="O14" s="4">
        <f t="shared" si="6"/>
        <v>0.54364013671875</v>
      </c>
      <c r="P14" s="4">
        <f t="shared" si="7"/>
        <v>0.557464599609375</v>
      </c>
      <c r="Q14" s="4"/>
      <c r="R14" s="4">
        <f t="shared" ca="1" si="8"/>
        <v>0.71254623590591548</v>
      </c>
      <c r="S14" s="4">
        <f t="shared" ca="1" si="9"/>
        <v>0.71042094656933286</v>
      </c>
      <c r="T14" s="4">
        <f t="shared" ca="1" si="10"/>
        <v>0.7146601772186798</v>
      </c>
      <c r="V14" s="4">
        <f t="shared" ca="1" si="11"/>
        <v>0.71254623590591548</v>
      </c>
      <c r="W14" s="4">
        <f t="shared" ca="1" si="12"/>
        <v>0.71042094656933286</v>
      </c>
      <c r="X14" s="4">
        <f t="shared" ca="1" si="13"/>
        <v>0.7146601772186798</v>
      </c>
      <c r="Z14">
        <f t="shared" ca="1" si="14"/>
        <v>2782.9778891303276</v>
      </c>
      <c r="AA14">
        <f t="shared" ca="1" si="15"/>
        <v>2789.4838441266761</v>
      </c>
      <c r="AB14">
        <f t="shared" ca="1" si="16"/>
        <v>2776.5067783768527</v>
      </c>
      <c r="AC14" s="4"/>
      <c r="AD14" s="3">
        <f t="shared" ca="1" si="17"/>
        <v>5.0999999999999996</v>
      </c>
      <c r="AE14" s="3">
        <f t="shared" ca="1" si="18"/>
        <v>5.8</v>
      </c>
      <c r="AF14" s="3">
        <f t="shared" ca="1" si="19"/>
        <v>4.5</v>
      </c>
      <c r="AG14" s="1"/>
      <c r="AH14" s="3">
        <f t="shared" ca="1" si="20"/>
        <v>9.9999999999999645E-2</v>
      </c>
      <c r="AI14" s="3">
        <f t="shared" ca="1" si="21"/>
        <v>0.79999999999999982</v>
      </c>
      <c r="AJ14" s="3">
        <f t="shared" ca="1" si="22"/>
        <v>-0.5</v>
      </c>
      <c r="AK14" s="4">
        <f t="shared" ca="1" si="23"/>
        <v>-0.5</v>
      </c>
      <c r="AL14" s="4">
        <f t="shared" ca="1" si="24"/>
        <v>0.79999999999999982</v>
      </c>
      <c r="AN14" s="4">
        <f t="shared" ca="1" si="25"/>
        <v>5.2000000000000011</v>
      </c>
      <c r="AO14" s="4">
        <f t="shared" ca="1" si="26"/>
        <v>5.3</v>
      </c>
      <c r="AP14" s="4">
        <f t="shared" ca="1" si="27"/>
        <v>5.1000000000000014</v>
      </c>
      <c r="AQ14" s="4"/>
      <c r="AR14" s="3">
        <f t="shared" ca="1" si="28"/>
        <v>0.20000000000000107</v>
      </c>
      <c r="AS14" s="3">
        <f t="shared" ca="1" si="0"/>
        <v>0.29999999999999982</v>
      </c>
      <c r="AT14" s="3">
        <f t="shared" ca="1" si="1"/>
        <v>0.10000000000000142</v>
      </c>
      <c r="AU14" s="4">
        <f t="shared" ca="1" si="29"/>
        <v>0.10000000000000142</v>
      </c>
      <c r="AV14" s="4">
        <f t="shared" ca="1" si="30"/>
        <v>0.29999999999999982</v>
      </c>
      <c r="AW14" s="4"/>
      <c r="AX14" s="4"/>
    </row>
    <row r="15" spans="2:50" x14ac:dyDescent="0.2">
      <c r="C15" s="5">
        <f>Accuracy!F14</f>
        <v>10</v>
      </c>
      <c r="D15" s="5">
        <f>'Resistor Network'!AB15</f>
        <v>0.49944382647385982</v>
      </c>
      <c r="E15" s="5">
        <f>'Resistor Network'!AC15</f>
        <v>0.49298021591964208</v>
      </c>
      <c r="F15" s="5">
        <f>'Resistor Network'!AD15</f>
        <v>0.50590762292135738</v>
      </c>
      <c r="G15" s="8"/>
      <c r="H15" s="8"/>
      <c r="J15">
        <f t="shared" si="2"/>
        <v>16366</v>
      </c>
      <c r="K15">
        <f t="shared" si="3"/>
        <v>16154</v>
      </c>
      <c r="L15">
        <f t="shared" si="4"/>
        <v>16578</v>
      </c>
      <c r="N15" s="4">
        <f t="shared" si="5"/>
        <v>0.49945068359375</v>
      </c>
      <c r="O15" s="4">
        <f t="shared" si="6"/>
        <v>0.49298095703125</v>
      </c>
      <c r="P15" s="4">
        <f t="shared" si="7"/>
        <v>0.50592041015625</v>
      </c>
      <c r="Q15" s="4"/>
      <c r="R15" s="4">
        <f t="shared" ca="1" si="8"/>
        <v>0.69673376700924838</v>
      </c>
      <c r="S15" s="4">
        <f t="shared" ca="1" si="9"/>
        <v>0.69469911489046443</v>
      </c>
      <c r="T15" s="4">
        <f t="shared" ca="1" si="10"/>
        <v>0.69875860668027701</v>
      </c>
      <c r="V15" s="4">
        <f t="shared" ca="1" si="11"/>
        <v>0.69673376700924838</v>
      </c>
      <c r="W15" s="4">
        <f t="shared" ca="1" si="12"/>
        <v>0.69469911489046443</v>
      </c>
      <c r="X15" s="4">
        <f t="shared" ca="1" si="13"/>
        <v>0.69875860668027701</v>
      </c>
      <c r="Z15">
        <f t="shared" ca="1" si="14"/>
        <v>2831.3855490048081</v>
      </c>
      <c r="AA15">
        <f t="shared" ca="1" si="15"/>
        <v>2837.6147280851778</v>
      </c>
      <c r="AB15">
        <f t="shared" ca="1" si="16"/>
        <v>2825.186491631036</v>
      </c>
      <c r="AC15" s="4"/>
      <c r="AD15" s="3">
        <f t="shared" ca="1" si="17"/>
        <v>10</v>
      </c>
      <c r="AE15" s="3">
        <f t="shared" ca="1" si="18"/>
        <v>10.6</v>
      </c>
      <c r="AF15" s="3">
        <f t="shared" ca="1" si="19"/>
        <v>9.4</v>
      </c>
      <c r="AG15" s="1"/>
      <c r="AH15" s="3">
        <f t="shared" ca="1" si="20"/>
        <v>0</v>
      </c>
      <c r="AI15" s="3">
        <f t="shared" ca="1" si="21"/>
        <v>0.59999999999999964</v>
      </c>
      <c r="AJ15" s="3">
        <f t="shared" ca="1" si="22"/>
        <v>-0.59999999999999964</v>
      </c>
      <c r="AK15" s="4">
        <f t="shared" ca="1" si="23"/>
        <v>-0.59999999999999964</v>
      </c>
      <c r="AL15" s="4">
        <f t="shared" ca="1" si="24"/>
        <v>0.59999999999999964</v>
      </c>
      <c r="AN15" s="4">
        <f t="shared" ca="1" si="25"/>
        <v>10.100000000000001</v>
      </c>
      <c r="AO15" s="4">
        <f t="shared" ca="1" si="26"/>
        <v>10.1</v>
      </c>
      <c r="AP15" s="4">
        <f t="shared" ca="1" si="27"/>
        <v>10.000000000000002</v>
      </c>
      <c r="AQ15" s="4"/>
      <c r="AR15" s="3">
        <f t="shared" ca="1" si="28"/>
        <v>0.10000000000000142</v>
      </c>
      <c r="AS15" s="3">
        <f t="shared" ca="1" si="0"/>
        <v>9.9999999999999645E-2</v>
      </c>
      <c r="AT15" s="3">
        <f t="shared" ca="1" si="1"/>
        <v>0</v>
      </c>
      <c r="AU15" s="4">
        <f t="shared" ca="1" si="29"/>
        <v>0</v>
      </c>
      <c r="AV15" s="4">
        <f t="shared" ca="1" si="30"/>
        <v>9.9999999999999645E-2</v>
      </c>
      <c r="AW15" s="4"/>
      <c r="AX15" s="4"/>
    </row>
    <row r="16" spans="2:50" x14ac:dyDescent="0.2">
      <c r="C16" s="5">
        <f>Accuracy!F15</f>
        <v>15</v>
      </c>
      <c r="D16" s="5">
        <f>'Resistor Network'!AB16</f>
        <v>0.44937289691037013</v>
      </c>
      <c r="E16" s="5">
        <f>'Resistor Network'!AC16</f>
        <v>0.4434797903833097</v>
      </c>
      <c r="F16" s="5">
        <f>'Resistor Network'!AD16</f>
        <v>0.45528024920245003</v>
      </c>
      <c r="G16" s="8"/>
      <c r="H16" s="8"/>
      <c r="J16">
        <f t="shared" si="2"/>
        <v>14725</v>
      </c>
      <c r="K16">
        <f t="shared" si="3"/>
        <v>14532</v>
      </c>
      <c r="L16">
        <f t="shared" si="4"/>
        <v>14919</v>
      </c>
      <c r="N16" s="4">
        <f t="shared" si="5"/>
        <v>0.449371337890625</v>
      </c>
      <c r="O16" s="4">
        <f t="shared" si="6"/>
        <v>0.4434814453125</v>
      </c>
      <c r="P16" s="4">
        <f t="shared" si="7"/>
        <v>0.455291748046875</v>
      </c>
      <c r="Q16" s="4"/>
      <c r="R16" s="4">
        <f t="shared" ca="1" si="8"/>
        <v>0.68065212104475792</v>
      </c>
      <c r="S16" s="4">
        <f t="shared" ca="1" si="9"/>
        <v>0.6787004735128036</v>
      </c>
      <c r="T16" s="4">
        <f t="shared" ca="1" si="10"/>
        <v>0.68259917717713958</v>
      </c>
      <c r="V16" s="4">
        <f t="shared" ca="1" si="11"/>
        <v>0.68065212104475792</v>
      </c>
      <c r="W16" s="4">
        <f t="shared" ca="1" si="12"/>
        <v>0.6787004735128036</v>
      </c>
      <c r="X16" s="4">
        <f t="shared" ca="1" si="13"/>
        <v>0.68259917717713958</v>
      </c>
      <c r="Z16">
        <f t="shared" ca="1" si="14"/>
        <v>2880.6222715854883</v>
      </c>
      <c r="AA16">
        <f t="shared" ca="1" si="15"/>
        <v>2886.5978699477373</v>
      </c>
      <c r="AB16">
        <f t="shared" ca="1" si="16"/>
        <v>2874.6607901949524</v>
      </c>
      <c r="AC16" s="4"/>
      <c r="AD16" s="3">
        <f t="shared" ca="1" si="17"/>
        <v>14.9</v>
      </c>
      <c r="AE16" s="3">
        <f t="shared" ca="1" si="18"/>
        <v>15.5</v>
      </c>
      <c r="AF16" s="3">
        <f t="shared" ca="1" si="19"/>
        <v>14.3</v>
      </c>
      <c r="AG16" s="1"/>
      <c r="AH16" s="3">
        <f t="shared" ca="1" si="20"/>
        <v>-9.9999999999999645E-2</v>
      </c>
      <c r="AI16" s="3">
        <f t="shared" ca="1" si="21"/>
        <v>0.5</v>
      </c>
      <c r="AJ16" s="3">
        <f t="shared" ca="1" si="22"/>
        <v>-0.69999999999999929</v>
      </c>
      <c r="AK16" s="4">
        <f t="shared" ca="1" si="23"/>
        <v>-0.69999999999999929</v>
      </c>
      <c r="AL16" s="4">
        <f t="shared" ca="1" si="24"/>
        <v>0.5</v>
      </c>
      <c r="AN16" s="4">
        <f t="shared" ca="1" si="25"/>
        <v>15.000000000000002</v>
      </c>
      <c r="AO16" s="4">
        <f t="shared" ca="1" si="26"/>
        <v>15</v>
      </c>
      <c r="AP16" s="4">
        <f t="shared" ca="1" si="27"/>
        <v>14.900000000000002</v>
      </c>
      <c r="AQ16" s="4"/>
      <c r="AR16" s="3">
        <f t="shared" ca="1" si="28"/>
        <v>0</v>
      </c>
      <c r="AS16" s="3">
        <f t="shared" ca="1" si="0"/>
        <v>0</v>
      </c>
      <c r="AT16" s="3">
        <f t="shared" ca="1" si="1"/>
        <v>-9.9999999999997868E-2</v>
      </c>
      <c r="AU16" s="4">
        <f t="shared" ca="1" si="29"/>
        <v>-9.9999999999997868E-2</v>
      </c>
      <c r="AV16" s="4">
        <f t="shared" ca="1" si="30"/>
        <v>0</v>
      </c>
      <c r="AW16" s="4"/>
      <c r="AX16" s="4"/>
    </row>
    <row r="17" spans="3:50" x14ac:dyDescent="0.2">
      <c r="C17" s="5">
        <f>Accuracy!F16</f>
        <v>20</v>
      </c>
      <c r="D17" s="5">
        <f>'Resistor Network'!AB17</f>
        <v>0.40179461615154538</v>
      </c>
      <c r="E17" s="5">
        <f>'Resistor Network'!AC17</f>
        <v>0.39654266669527038</v>
      </c>
      <c r="F17" s="5">
        <f>'Resistor Network'!AD17</f>
        <v>0.40706920265728797</v>
      </c>
      <c r="G17" s="8"/>
      <c r="H17" s="8"/>
      <c r="J17">
        <f t="shared" si="2"/>
        <v>13166</v>
      </c>
      <c r="K17">
        <f t="shared" si="3"/>
        <v>12994</v>
      </c>
      <c r="L17">
        <f t="shared" si="4"/>
        <v>13339</v>
      </c>
      <c r="N17" s="4">
        <f t="shared" si="5"/>
        <v>0.40179443359375</v>
      </c>
      <c r="O17" s="4">
        <f t="shared" si="6"/>
        <v>0.39654541015625</v>
      </c>
      <c r="P17" s="4">
        <f t="shared" si="7"/>
        <v>0.407073974609375</v>
      </c>
      <c r="Q17" s="4"/>
      <c r="R17" s="4">
        <f t="shared" ca="1" si="8"/>
        <v>0.66440254506363994</v>
      </c>
      <c r="S17" s="4">
        <f t="shared" ca="1" si="9"/>
        <v>0.6625334960710535</v>
      </c>
      <c r="T17" s="4">
        <f t="shared" ca="1" si="10"/>
        <v>0.66626560087390985</v>
      </c>
      <c r="V17" s="4">
        <f t="shared" ca="1" si="11"/>
        <v>0.66440254506363994</v>
      </c>
      <c r="W17" s="4">
        <f t="shared" ca="1" si="12"/>
        <v>0.6625334960710535</v>
      </c>
      <c r="X17" s="4">
        <f t="shared" ca="1" si="13"/>
        <v>0.66626560087390985</v>
      </c>
      <c r="Z17">
        <f t="shared" ca="1" si="14"/>
        <v>2930.3772150629211</v>
      </c>
      <c r="AA17">
        <f t="shared" ca="1" si="15"/>
        <v>2936.1003123412975</v>
      </c>
      <c r="AB17">
        <f t="shared" ca="1" si="16"/>
        <v>2924.6725088642788</v>
      </c>
      <c r="AC17" s="4"/>
      <c r="AD17" s="3">
        <f t="shared" ca="1" si="17"/>
        <v>19.899999999999999</v>
      </c>
      <c r="AE17" s="3">
        <f t="shared" ca="1" si="18"/>
        <v>20.5</v>
      </c>
      <c r="AF17" s="3">
        <f t="shared" ca="1" si="19"/>
        <v>19.3</v>
      </c>
      <c r="AG17" s="1"/>
      <c r="AH17" s="3">
        <f t="shared" ca="1" si="20"/>
        <v>-0.10000000000000142</v>
      </c>
      <c r="AI17" s="3">
        <f t="shared" ca="1" si="21"/>
        <v>0.5</v>
      </c>
      <c r="AJ17" s="3">
        <f t="shared" ca="1" si="22"/>
        <v>-0.69999999999999929</v>
      </c>
      <c r="AK17" s="4">
        <f t="shared" ca="1" si="23"/>
        <v>-0.69999999999999929</v>
      </c>
      <c r="AL17" s="4">
        <f t="shared" ca="1" si="24"/>
        <v>0.5</v>
      </c>
      <c r="AN17" s="4">
        <f t="shared" ca="1" si="25"/>
        <v>20</v>
      </c>
      <c r="AO17" s="4">
        <f t="shared" ca="1" si="26"/>
        <v>20</v>
      </c>
      <c r="AP17" s="4">
        <f t="shared" ca="1" si="27"/>
        <v>19.900000000000002</v>
      </c>
      <c r="AQ17" s="4"/>
      <c r="AR17" s="3">
        <f t="shared" ca="1" si="28"/>
        <v>0</v>
      </c>
      <c r="AS17" s="3">
        <f t="shared" ca="1" si="0"/>
        <v>0</v>
      </c>
      <c r="AT17" s="3">
        <f t="shared" ca="1" si="1"/>
        <v>-9.9999999999997868E-2</v>
      </c>
      <c r="AU17" s="4">
        <f t="shared" ca="1" si="29"/>
        <v>-9.9999999999997868E-2</v>
      </c>
      <c r="AV17" s="4">
        <f t="shared" ca="1" si="30"/>
        <v>0</v>
      </c>
      <c r="AW17" s="4"/>
      <c r="AX17" s="4"/>
    </row>
    <row r="18" spans="3:50" x14ac:dyDescent="0.2">
      <c r="C18" s="5">
        <f>Accuracy!F17</f>
        <v>25</v>
      </c>
      <c r="D18" s="5">
        <f>'Resistor Network'!AB18</f>
        <v>0.35714285714285715</v>
      </c>
      <c r="E18" s="5">
        <f>'Resistor Network'!AC18</f>
        <v>0.35256410256410259</v>
      </c>
      <c r="F18" s="5">
        <f>'Resistor Network'!AD18</f>
        <v>0.36174785100286533</v>
      </c>
      <c r="G18" s="8"/>
      <c r="H18" s="8"/>
      <c r="J18">
        <f>ROUND(D18*2^$K$2,0)</f>
        <v>11703</v>
      </c>
      <c r="K18">
        <f t="shared" si="3"/>
        <v>11553</v>
      </c>
      <c r="L18">
        <f t="shared" si="4"/>
        <v>11854</v>
      </c>
      <c r="N18" s="4">
        <f t="shared" si="5"/>
        <v>0.357147216796875</v>
      </c>
      <c r="O18" s="4">
        <f t="shared" si="6"/>
        <v>0.352569580078125</v>
      </c>
      <c r="P18" s="4">
        <f t="shared" si="7"/>
        <v>0.36175537109375</v>
      </c>
      <c r="Q18" s="4"/>
      <c r="R18" s="4">
        <f t="shared" ca="1" si="8"/>
        <v>0.64790850041711634</v>
      </c>
      <c r="S18" s="4">
        <f t="shared" ca="1" si="9"/>
        <v>0.64613352331166207</v>
      </c>
      <c r="T18" s="4">
        <f t="shared" ca="1" si="10"/>
        <v>0.64967822794591223</v>
      </c>
      <c r="V18" s="4">
        <f t="shared" ca="1" si="11"/>
        <v>0.64790850041711634</v>
      </c>
      <c r="W18" s="4">
        <f t="shared" ca="1" si="12"/>
        <v>0.64613352331166207</v>
      </c>
      <c r="X18" s="4">
        <f t="shared" ca="1" si="13"/>
        <v>0.64967822794591223</v>
      </c>
      <c r="Z18">
        <f t="shared" ca="1" si="14"/>
        <v>2980.8837834960082</v>
      </c>
      <c r="AA18">
        <f t="shared" ca="1" si="15"/>
        <v>2986.3190954642455</v>
      </c>
      <c r="AB18">
        <f t="shared" ca="1" si="16"/>
        <v>2975.4645695244017</v>
      </c>
      <c r="AC18" s="4"/>
      <c r="AD18" s="3">
        <f t="shared" ca="1" si="17"/>
        <v>24.9</v>
      </c>
      <c r="AE18" s="3">
        <f t="shared" ca="1" si="18"/>
        <v>25.5</v>
      </c>
      <c r="AF18" s="3">
        <f t="shared" ca="1" si="19"/>
        <v>24.4</v>
      </c>
      <c r="AG18" s="1"/>
      <c r="AH18" s="3">
        <f t="shared" ca="1" si="20"/>
        <v>-0.10000000000000142</v>
      </c>
      <c r="AI18" s="3">
        <f t="shared" ca="1" si="21"/>
        <v>0.5</v>
      </c>
      <c r="AJ18" s="3">
        <f t="shared" ca="1" si="22"/>
        <v>-0.60000000000000142</v>
      </c>
      <c r="AK18" s="4">
        <f t="shared" ca="1" si="23"/>
        <v>-0.60000000000000142</v>
      </c>
      <c r="AL18" s="4">
        <f t="shared" ca="1" si="24"/>
        <v>0.5</v>
      </c>
      <c r="AN18" s="4">
        <f t="shared" ca="1" si="25"/>
        <v>25</v>
      </c>
      <c r="AO18" s="4">
        <f t="shared" ca="1" si="26"/>
        <v>25</v>
      </c>
      <c r="AP18" s="4">
        <f t="shared" ca="1" si="27"/>
        <v>25</v>
      </c>
      <c r="AQ18" s="4"/>
      <c r="AR18" s="3">
        <f t="shared" ca="1" si="28"/>
        <v>0</v>
      </c>
      <c r="AS18" s="3">
        <f t="shared" ca="1" si="0"/>
        <v>0</v>
      </c>
      <c r="AT18" s="3">
        <f t="shared" ca="1" si="1"/>
        <v>0</v>
      </c>
      <c r="AU18" s="4">
        <f t="shared" ca="1" si="29"/>
        <v>0</v>
      </c>
      <c r="AV18" s="4">
        <f t="shared" ca="1" si="30"/>
        <v>0</v>
      </c>
      <c r="AW18" s="4"/>
      <c r="AX18" s="4"/>
    </row>
    <row r="19" spans="3:50" x14ac:dyDescent="0.2">
      <c r="C19" s="5">
        <f>Accuracy!F18</f>
        <v>30</v>
      </c>
      <c r="D19" s="5">
        <f>'Resistor Network'!AB19</f>
        <v>0.31592748831376127</v>
      </c>
      <c r="E19" s="5">
        <f>'Resistor Network'!AC19</f>
        <v>0.31122478965383193</v>
      </c>
      <c r="F19" s="5">
        <f>'Resistor Network'!AD19</f>
        <v>0.32066816363162931</v>
      </c>
      <c r="G19" s="8"/>
      <c r="H19" s="8"/>
      <c r="J19">
        <f t="shared" si="2"/>
        <v>10352</v>
      </c>
      <c r="K19">
        <f t="shared" si="3"/>
        <v>10198</v>
      </c>
      <c r="L19">
        <f t="shared" si="4"/>
        <v>10508</v>
      </c>
      <c r="N19" s="4">
        <f t="shared" si="5"/>
        <v>0.31591796875</v>
      </c>
      <c r="O19" s="4">
        <f t="shared" si="6"/>
        <v>0.31121826171875</v>
      </c>
      <c r="P19" s="4">
        <f t="shared" si="7"/>
        <v>0.3206787109375</v>
      </c>
      <c r="Q19" s="4"/>
      <c r="R19" s="4">
        <f t="shared" ca="1" si="8"/>
        <v>0.63125080587720195</v>
      </c>
      <c r="S19" s="4">
        <f t="shared" ca="1" si="9"/>
        <v>0.6292475441841362</v>
      </c>
      <c r="T19" s="4">
        <f t="shared" ca="1" si="10"/>
        <v>0.63325661132039801</v>
      </c>
      <c r="V19" s="4">
        <f t="shared" ca="1" si="11"/>
        <v>0.63125080587720195</v>
      </c>
      <c r="W19" s="4">
        <f t="shared" ca="1" si="12"/>
        <v>0.6292475441841362</v>
      </c>
      <c r="X19" s="4">
        <f t="shared" ca="1" si="13"/>
        <v>0.63325661132039801</v>
      </c>
      <c r="Z19">
        <f t="shared" ca="1" si="14"/>
        <v>3031.8934701771586</v>
      </c>
      <c r="AA19">
        <f t="shared" ca="1" si="15"/>
        <v>3038.0279980861669</v>
      </c>
      <c r="AB19">
        <f t="shared" ca="1" si="16"/>
        <v>3025.7511649841299</v>
      </c>
      <c r="AC19" s="4"/>
      <c r="AD19" s="3">
        <f t="shared" ca="1" si="17"/>
        <v>30</v>
      </c>
      <c r="AE19" s="3">
        <f t="shared" ca="1" si="18"/>
        <v>30.7</v>
      </c>
      <c r="AF19" s="3">
        <f t="shared" ca="1" si="19"/>
        <v>29.4</v>
      </c>
      <c r="AG19" s="1"/>
      <c r="AH19" s="3">
        <f t="shared" ca="1" si="20"/>
        <v>0</v>
      </c>
      <c r="AI19" s="3">
        <f t="shared" ca="1" si="21"/>
        <v>0.69999999999999929</v>
      </c>
      <c r="AJ19" s="3">
        <f t="shared" ca="1" si="22"/>
        <v>-0.60000000000000142</v>
      </c>
      <c r="AK19" s="4">
        <f t="shared" ca="1" si="23"/>
        <v>-0.60000000000000142</v>
      </c>
      <c r="AL19" s="4">
        <f t="shared" ca="1" si="24"/>
        <v>0.69999999999999929</v>
      </c>
      <c r="AN19" s="4">
        <f t="shared" ca="1" si="25"/>
        <v>30.1</v>
      </c>
      <c r="AO19" s="4">
        <f t="shared" ca="1" si="26"/>
        <v>30.2</v>
      </c>
      <c r="AP19" s="4">
        <f t="shared" ca="1" si="27"/>
        <v>30</v>
      </c>
      <c r="AQ19" s="4"/>
      <c r="AR19" s="3">
        <f t="shared" ca="1" si="28"/>
        <v>0.10000000000000142</v>
      </c>
      <c r="AS19" s="3">
        <f t="shared" ca="1" si="0"/>
        <v>0.19999999999999929</v>
      </c>
      <c r="AT19" s="3">
        <f t="shared" ca="1" si="1"/>
        <v>0</v>
      </c>
      <c r="AU19" s="4">
        <f t="shared" ca="1" si="29"/>
        <v>0</v>
      </c>
      <c r="AV19" s="4">
        <f t="shared" ca="1" si="30"/>
        <v>0.19999999999999929</v>
      </c>
      <c r="AW19" s="4"/>
      <c r="AX19" s="4"/>
    </row>
    <row r="20" spans="3:50" x14ac:dyDescent="0.2">
      <c r="C20" s="5">
        <f>Accuracy!F19</f>
        <v>35</v>
      </c>
      <c r="D20" s="5">
        <f>'Resistor Network'!AB20</f>
        <v>0.27826784282277467</v>
      </c>
      <c r="E20" s="5">
        <f>'Resistor Network'!AC20</f>
        <v>0.27354239975356498</v>
      </c>
      <c r="F20" s="5">
        <f>'Resistor Network'!AD20</f>
        <v>0.28304311235106594</v>
      </c>
      <c r="G20" s="8"/>
      <c r="H20" s="8"/>
      <c r="J20">
        <f t="shared" si="2"/>
        <v>9118</v>
      </c>
      <c r="K20">
        <f t="shared" si="3"/>
        <v>8963</v>
      </c>
      <c r="L20">
        <f t="shared" si="4"/>
        <v>9275</v>
      </c>
      <c r="N20" s="4">
        <f t="shared" si="5"/>
        <v>0.27825927734375</v>
      </c>
      <c r="O20" s="4">
        <f t="shared" si="6"/>
        <v>0.273529052734375</v>
      </c>
      <c r="P20" s="4">
        <f t="shared" si="7"/>
        <v>0.283050537109375</v>
      </c>
      <c r="Q20" s="4"/>
      <c r="R20" s="4">
        <f t="shared" ca="1" si="8"/>
        <v>0.61448832078713078</v>
      </c>
      <c r="S20" s="4">
        <f t="shared" ca="1" si="9"/>
        <v>0.61225783692242397</v>
      </c>
      <c r="T20" s="4">
        <f t="shared" ca="1" si="10"/>
        <v>0.61671696905072171</v>
      </c>
      <c r="V20" s="4">
        <f t="shared" ca="1" si="11"/>
        <v>0.61448832078713078</v>
      </c>
      <c r="W20" s="4">
        <f t="shared" ca="1" si="12"/>
        <v>0.61225783692242397</v>
      </c>
      <c r="X20" s="4">
        <f t="shared" ca="1" si="13"/>
        <v>0.61671696905072171</v>
      </c>
      <c r="Z20">
        <f t="shared" ca="1" si="14"/>
        <v>3083.2249084984619</v>
      </c>
      <c r="AA20">
        <f t="shared" ca="1" si="15"/>
        <v>3090.0552782071486</v>
      </c>
      <c r="AB20">
        <f t="shared" ca="1" si="16"/>
        <v>3076.4001542075348</v>
      </c>
      <c r="AC20" s="4"/>
      <c r="AD20" s="3">
        <f t="shared" ca="1" si="17"/>
        <v>35.200000000000003</v>
      </c>
      <c r="AE20" s="3">
        <f t="shared" ca="1" si="18"/>
        <v>35.9</v>
      </c>
      <c r="AF20" s="3">
        <f t="shared" ca="1" si="19"/>
        <v>34.5</v>
      </c>
      <c r="AG20" s="1"/>
      <c r="AH20" s="3">
        <f t="shared" ca="1" si="20"/>
        <v>0.20000000000000284</v>
      </c>
      <c r="AI20" s="3">
        <f t="shared" ca="1" si="21"/>
        <v>0.89999999999999858</v>
      </c>
      <c r="AJ20" s="3">
        <f t="shared" ca="1" si="22"/>
        <v>-0.5</v>
      </c>
      <c r="AK20" s="4">
        <f t="shared" ca="1" si="23"/>
        <v>-0.5</v>
      </c>
      <c r="AL20" s="4">
        <f t="shared" ca="1" si="24"/>
        <v>0.89999999999999858</v>
      </c>
      <c r="AN20" s="4">
        <f t="shared" ca="1" si="25"/>
        <v>35.300000000000004</v>
      </c>
      <c r="AO20" s="4">
        <f t="shared" ca="1" si="26"/>
        <v>35.4</v>
      </c>
      <c r="AP20" s="4">
        <f t="shared" ca="1" si="27"/>
        <v>35.1</v>
      </c>
      <c r="AQ20" s="4"/>
      <c r="AR20" s="3">
        <f t="shared" ca="1" si="28"/>
        <v>0.30000000000000426</v>
      </c>
      <c r="AS20" s="3">
        <f t="shared" ca="1" si="0"/>
        <v>0.39999999999999858</v>
      </c>
      <c r="AT20" s="3">
        <f t="shared" ca="1" si="1"/>
        <v>0.10000000000000142</v>
      </c>
      <c r="AU20" s="4">
        <f t="shared" ca="1" si="29"/>
        <v>0.10000000000000142</v>
      </c>
      <c r="AV20" s="4">
        <f t="shared" ca="1" si="30"/>
        <v>0.39999999999999858</v>
      </c>
      <c r="AW20" s="4"/>
      <c r="AX20" s="4"/>
    </row>
    <row r="21" spans="3:50" x14ac:dyDescent="0.2">
      <c r="C21" s="5">
        <f>Accuracy!F20</f>
        <v>40</v>
      </c>
      <c r="D21" s="5">
        <f>'Resistor Network'!AB21</f>
        <v>0.24455449699920259</v>
      </c>
      <c r="E21" s="5">
        <f>'Resistor Network'!AC21</f>
        <v>0.23989213528012901</v>
      </c>
      <c r="F21" s="5">
        <f>'Resistor Network'!AD21</f>
        <v>0.24927775589791157</v>
      </c>
      <c r="G21" s="8"/>
      <c r="H21" s="8"/>
      <c r="J21">
        <f t="shared" si="2"/>
        <v>8014</v>
      </c>
      <c r="K21">
        <f t="shared" si="3"/>
        <v>7861</v>
      </c>
      <c r="L21">
        <f t="shared" si="4"/>
        <v>8168</v>
      </c>
      <c r="N21" s="4">
        <f t="shared" si="5"/>
        <v>0.24456787109375</v>
      </c>
      <c r="O21" s="4">
        <f t="shared" si="6"/>
        <v>0.239898681640625</v>
      </c>
      <c r="P21" s="4">
        <f t="shared" si="7"/>
        <v>0.249267578125</v>
      </c>
      <c r="Q21" s="4"/>
      <c r="R21" s="4">
        <f t="shared" ca="1" si="8"/>
        <v>0.59787994469887429</v>
      </c>
      <c r="S21" s="4">
        <f t="shared" ca="1" si="9"/>
        <v>0.59543352402667105</v>
      </c>
      <c r="T21" s="4">
        <f t="shared" ca="1" si="10"/>
        <v>0.60030397181321971</v>
      </c>
      <c r="V21" s="4">
        <f t="shared" ca="1" si="11"/>
        <v>0.59787994469887429</v>
      </c>
      <c r="W21" s="4">
        <f t="shared" ca="1" si="12"/>
        <v>0.59543352402667105</v>
      </c>
      <c r="X21" s="4">
        <f t="shared" ca="1" si="13"/>
        <v>0.60030397181321971</v>
      </c>
      <c r="Z21">
        <f t="shared" ca="1" si="14"/>
        <v>3134.0841069579837</v>
      </c>
      <c r="AA21">
        <f t="shared" ca="1" si="15"/>
        <v>3141.5755913386988</v>
      </c>
      <c r="AB21">
        <f t="shared" ca="1" si="16"/>
        <v>3126.6611651341082</v>
      </c>
      <c r="AC21" s="4"/>
      <c r="AD21" s="3">
        <f t="shared" ca="1" si="17"/>
        <v>40.299999999999997</v>
      </c>
      <c r="AE21" s="3">
        <f t="shared" ca="1" si="18"/>
        <v>41</v>
      </c>
      <c r="AF21" s="3">
        <f t="shared" ca="1" si="19"/>
        <v>39.5</v>
      </c>
      <c r="AG21" s="1"/>
      <c r="AH21" s="3">
        <f t="shared" ca="1" si="20"/>
        <v>0.29999999999999716</v>
      </c>
      <c r="AI21" s="3">
        <f t="shared" ca="1" si="21"/>
        <v>1</v>
      </c>
      <c r="AJ21" s="3">
        <f t="shared" ca="1" si="22"/>
        <v>-0.5</v>
      </c>
      <c r="AK21" s="4">
        <f t="shared" ca="1" si="23"/>
        <v>-0.5</v>
      </c>
      <c r="AL21" s="4">
        <f t="shared" ca="1" si="24"/>
        <v>1</v>
      </c>
      <c r="AN21" s="4">
        <f t="shared" ca="1" si="25"/>
        <v>40.4</v>
      </c>
      <c r="AO21" s="4">
        <f t="shared" ca="1" si="26"/>
        <v>40.5</v>
      </c>
      <c r="AP21" s="4">
        <f t="shared" ca="1" si="27"/>
        <v>40.1</v>
      </c>
      <c r="AQ21" s="4"/>
      <c r="AR21" s="3">
        <f t="shared" ca="1" si="28"/>
        <v>0.39999999999999858</v>
      </c>
      <c r="AS21" s="3">
        <f t="shared" ca="1" si="0"/>
        <v>0.5</v>
      </c>
      <c r="AT21" s="3">
        <f t="shared" ca="1" si="1"/>
        <v>0.10000000000000142</v>
      </c>
      <c r="AU21" s="4">
        <f t="shared" ca="1" si="29"/>
        <v>0.10000000000000142</v>
      </c>
      <c r="AV21" s="4">
        <f t="shared" ca="1" si="30"/>
        <v>0.5</v>
      </c>
      <c r="AW21" s="4"/>
      <c r="AX21" s="4"/>
    </row>
    <row r="22" spans="3:50" x14ac:dyDescent="0.2">
      <c r="C22" s="5">
        <f>Accuracy!F21</f>
        <v>45</v>
      </c>
      <c r="D22" s="5">
        <f>'Resistor Network'!AB22</f>
        <v>0.21435118502029593</v>
      </c>
      <c r="E22" s="5">
        <f>'Resistor Network'!AC22</f>
        <v>0.20982080157303165</v>
      </c>
      <c r="F22" s="5">
        <f>'Resistor Network'!AD22</f>
        <v>0.21895228231257546</v>
      </c>
      <c r="G22" s="8"/>
      <c r="H22" s="8"/>
      <c r="J22">
        <f t="shared" si="2"/>
        <v>7024</v>
      </c>
      <c r="K22">
        <f t="shared" si="3"/>
        <v>6875</v>
      </c>
      <c r="L22">
        <f t="shared" si="4"/>
        <v>7175</v>
      </c>
      <c r="N22" s="4">
        <f t="shared" si="5"/>
        <v>0.21435546875</v>
      </c>
      <c r="O22" s="4">
        <f t="shared" si="6"/>
        <v>0.209808349609375</v>
      </c>
      <c r="P22" s="4">
        <f t="shared" si="7"/>
        <v>0.218963623046875</v>
      </c>
      <c r="Q22" s="4"/>
      <c r="R22" s="4">
        <f t="shared" ca="1" si="8"/>
        <v>0.58130342190087969</v>
      </c>
      <c r="S22" s="4">
        <f t="shared" ca="1" si="9"/>
        <v>0.57864046340902919</v>
      </c>
      <c r="T22" s="4">
        <f t="shared" ca="1" si="10"/>
        <v>0.58395352082959129</v>
      </c>
      <c r="V22" s="4">
        <f t="shared" ca="1" si="11"/>
        <v>0.58130342190087969</v>
      </c>
      <c r="W22" s="4">
        <f t="shared" ca="1" si="12"/>
        <v>0.57864046340902919</v>
      </c>
      <c r="X22" s="4">
        <f t="shared" ca="1" si="13"/>
        <v>0.58395352082959129</v>
      </c>
      <c r="Z22">
        <f t="shared" ca="1" si="14"/>
        <v>3184.8442958735905</v>
      </c>
      <c r="AA22">
        <f t="shared" ca="1" si="15"/>
        <v>3192.998523094805</v>
      </c>
      <c r="AB22">
        <f t="shared" ca="1" si="16"/>
        <v>3176.7293788644156</v>
      </c>
      <c r="AC22" s="4"/>
      <c r="AD22" s="3">
        <f t="shared" ca="1" si="17"/>
        <v>45.3</v>
      </c>
      <c r="AE22" s="3">
        <f t="shared" ca="1" si="18"/>
        <v>46.1</v>
      </c>
      <c r="AF22" s="3">
        <f t="shared" ca="1" si="19"/>
        <v>44.5</v>
      </c>
      <c r="AG22" s="1"/>
      <c r="AH22" s="3">
        <f t="shared" ca="1" si="20"/>
        <v>0.29999999999999716</v>
      </c>
      <c r="AI22" s="3">
        <f t="shared" ca="1" si="21"/>
        <v>1.1000000000000014</v>
      </c>
      <c r="AJ22" s="3">
        <f t="shared" ca="1" si="22"/>
        <v>-0.5</v>
      </c>
      <c r="AK22" s="4">
        <f t="shared" ca="1" si="23"/>
        <v>-0.5</v>
      </c>
      <c r="AL22" s="4">
        <f t="shared" ca="1" si="24"/>
        <v>1.1000000000000014</v>
      </c>
      <c r="AN22" s="4">
        <f t="shared" ca="1" si="25"/>
        <v>45.4</v>
      </c>
      <c r="AO22" s="4">
        <f t="shared" ca="1" si="26"/>
        <v>45.6</v>
      </c>
      <c r="AP22" s="4">
        <f t="shared" ca="1" si="27"/>
        <v>45.1</v>
      </c>
      <c r="AQ22" s="4"/>
      <c r="AR22" s="3">
        <f t="shared" ca="1" si="28"/>
        <v>0.39999999999999858</v>
      </c>
      <c r="AS22" s="3">
        <f t="shared" ca="1" si="0"/>
        <v>0.60000000000000142</v>
      </c>
      <c r="AT22" s="3">
        <f t="shared" ca="1" si="1"/>
        <v>0.10000000000000142</v>
      </c>
      <c r="AU22" s="4">
        <f t="shared" ca="1" si="29"/>
        <v>0.10000000000000142</v>
      </c>
      <c r="AV22" s="4">
        <f t="shared" ca="1" si="30"/>
        <v>0.60000000000000142</v>
      </c>
      <c r="AW22" s="4"/>
      <c r="AX22" s="4"/>
    </row>
    <row r="23" spans="3:50" x14ac:dyDescent="0.2">
      <c r="C23" s="5">
        <f>Accuracy!F22</f>
        <v>50</v>
      </c>
      <c r="D23" s="5">
        <f>'Resistor Network'!AB23</f>
        <v>0.18772563176895307</v>
      </c>
      <c r="E23" s="5">
        <f>'Resistor Network'!AC23</f>
        <v>0.18337780124116737</v>
      </c>
      <c r="F23" s="5">
        <f>'Resistor Network'!AD23</f>
        <v>0.19215229179952303</v>
      </c>
      <c r="G23" s="8"/>
      <c r="H23" s="8"/>
      <c r="J23">
        <f t="shared" si="2"/>
        <v>6151</v>
      </c>
      <c r="K23">
        <f t="shared" si="3"/>
        <v>6009</v>
      </c>
      <c r="L23">
        <f t="shared" si="4"/>
        <v>6296</v>
      </c>
      <c r="N23" s="4">
        <f t="shared" si="5"/>
        <v>0.187713623046875</v>
      </c>
      <c r="O23" s="4">
        <f t="shared" si="6"/>
        <v>0.183380126953125</v>
      </c>
      <c r="P23" s="4">
        <f t="shared" si="7"/>
        <v>0.192138671875</v>
      </c>
      <c r="Q23" s="4"/>
      <c r="R23" s="4">
        <f t="shared" ca="1" si="8"/>
        <v>0.56494262959476615</v>
      </c>
      <c r="S23" s="4">
        <f t="shared" ca="1" si="9"/>
        <v>0.56209039978592501</v>
      </c>
      <c r="T23" s="4">
        <f t="shared" ca="1" si="10"/>
        <v>0.56779521491563245</v>
      </c>
      <c r="V23" s="4">
        <f t="shared" ca="1" si="11"/>
        <v>0.56494262959476615</v>
      </c>
      <c r="W23" s="4">
        <f t="shared" ca="1" si="12"/>
        <v>0.56209039978592501</v>
      </c>
      <c r="X23" s="4">
        <f t="shared" ca="1" si="13"/>
        <v>0.56779521491563245</v>
      </c>
      <c r="Z23">
        <f t="shared" ca="1" si="14"/>
        <v>3234.9413226839506</v>
      </c>
      <c r="AA23">
        <f t="shared" ca="1" si="15"/>
        <v>3243.6745568134584</v>
      </c>
      <c r="AB23">
        <f t="shared" ca="1" si="16"/>
        <v>3226.2068890734749</v>
      </c>
      <c r="AC23" s="4"/>
      <c r="AD23" s="3">
        <f t="shared" ca="1" si="17"/>
        <v>50.3</v>
      </c>
      <c r="AE23" s="3">
        <f t="shared" ca="1" si="18"/>
        <v>51.2</v>
      </c>
      <c r="AF23" s="3">
        <f t="shared" ca="1" si="19"/>
        <v>49.5</v>
      </c>
      <c r="AG23" s="1"/>
      <c r="AH23" s="3">
        <f t="shared" ca="1" si="20"/>
        <v>0.29999999999999716</v>
      </c>
      <c r="AI23" s="3">
        <f t="shared" ca="1" si="21"/>
        <v>1.2000000000000028</v>
      </c>
      <c r="AJ23" s="3">
        <f t="shared" ca="1" si="22"/>
        <v>-0.5</v>
      </c>
      <c r="AK23" s="4">
        <f t="shared" ca="1" si="23"/>
        <v>-0.5</v>
      </c>
      <c r="AL23" s="4">
        <f t="shared" ca="1" si="24"/>
        <v>1.2000000000000028</v>
      </c>
      <c r="AN23" s="4">
        <f t="shared" ca="1" si="25"/>
        <v>50.4</v>
      </c>
      <c r="AO23" s="4">
        <f t="shared" ca="1" si="26"/>
        <v>50.7</v>
      </c>
      <c r="AP23" s="4">
        <f t="shared" ca="1" si="27"/>
        <v>50.1</v>
      </c>
      <c r="AQ23" s="4"/>
      <c r="AR23" s="3">
        <f t="shared" ca="1" si="28"/>
        <v>0.39999999999999858</v>
      </c>
      <c r="AS23" s="3">
        <f t="shared" ca="1" si="0"/>
        <v>0.70000000000000284</v>
      </c>
      <c r="AT23" s="3">
        <f t="shared" ca="1" si="1"/>
        <v>0.10000000000000142</v>
      </c>
      <c r="AU23" s="4">
        <f t="shared" ca="1" si="29"/>
        <v>0.10000000000000142</v>
      </c>
      <c r="AV23" s="4">
        <f t="shared" ca="1" si="30"/>
        <v>0.70000000000000284</v>
      </c>
      <c r="AW23" s="4"/>
      <c r="AX23" s="4"/>
    </row>
    <row r="24" spans="3:50" x14ac:dyDescent="0.2">
      <c r="C24" s="5">
        <f>Accuracy!F23</f>
        <v>55</v>
      </c>
      <c r="D24" s="5">
        <f>'Resistor Network'!AB24</f>
        <v>0.16419019316493313</v>
      </c>
      <c r="E24" s="5">
        <f>'Resistor Network'!AC24</f>
        <v>0.1600612834386925</v>
      </c>
      <c r="F24" s="5">
        <f>'Resistor Network'!AD24</f>
        <v>0.16840425691669075</v>
      </c>
      <c r="G24" s="8"/>
      <c r="H24" s="8"/>
      <c r="J24">
        <f t="shared" si="2"/>
        <v>5380</v>
      </c>
      <c r="K24">
        <f t="shared" si="3"/>
        <v>5245</v>
      </c>
      <c r="L24">
        <f t="shared" si="4"/>
        <v>5518</v>
      </c>
      <c r="N24" s="4">
        <f t="shared" si="5"/>
        <v>0.1641845703125</v>
      </c>
      <c r="O24" s="4">
        <f t="shared" si="6"/>
        <v>0.160064697265625</v>
      </c>
      <c r="P24" s="4">
        <f t="shared" si="7"/>
        <v>0.16839599609375</v>
      </c>
      <c r="Q24" s="4"/>
      <c r="R24" s="4">
        <f t="shared" ca="1" si="8"/>
        <v>0.54866998600509398</v>
      </c>
      <c r="S24" s="4">
        <f t="shared" ca="1" si="9"/>
        <v>0.54560060208073213</v>
      </c>
      <c r="T24" s="4">
        <f t="shared" ca="1" si="10"/>
        <v>0.55173378918039873</v>
      </c>
      <c r="V24" s="4">
        <f t="shared" ca="1" si="11"/>
        <v>0.54866998600509398</v>
      </c>
      <c r="W24" s="4">
        <f t="shared" ca="1" si="12"/>
        <v>0.54560060208073213</v>
      </c>
      <c r="X24" s="4">
        <f t="shared" ca="1" si="13"/>
        <v>0.55173378918039873</v>
      </c>
      <c r="Z24">
        <f t="shared" ca="1" si="14"/>
        <v>3284.764818409426</v>
      </c>
      <c r="AA24">
        <f t="shared" ca="1" si="15"/>
        <v>3294.1621486562863</v>
      </c>
      <c r="AB24">
        <f t="shared" ca="1" si="16"/>
        <v>3275.3844077396902</v>
      </c>
      <c r="AC24" s="4"/>
      <c r="AD24" s="3">
        <f t="shared" ca="1" si="17"/>
        <v>55.3</v>
      </c>
      <c r="AE24" s="3">
        <f t="shared" ca="1" si="18"/>
        <v>56.3</v>
      </c>
      <c r="AF24" s="3">
        <f t="shared" ca="1" si="19"/>
        <v>54.4</v>
      </c>
      <c r="AG24" s="1"/>
      <c r="AH24" s="3">
        <f t="shared" ca="1" si="20"/>
        <v>0.29999999999999716</v>
      </c>
      <c r="AI24" s="3">
        <f t="shared" ca="1" si="21"/>
        <v>1.2999999999999972</v>
      </c>
      <c r="AJ24" s="3">
        <f t="shared" ca="1" si="22"/>
        <v>-0.60000000000000142</v>
      </c>
      <c r="AK24" s="4">
        <f t="shared" ca="1" si="23"/>
        <v>-0.60000000000000142</v>
      </c>
      <c r="AL24" s="4">
        <f t="shared" ca="1" si="24"/>
        <v>1.2999999999999972</v>
      </c>
      <c r="AN24" s="4">
        <f t="shared" ca="1" si="25"/>
        <v>55.4</v>
      </c>
      <c r="AO24" s="4">
        <f t="shared" ca="1" si="26"/>
        <v>55.8</v>
      </c>
      <c r="AP24" s="4">
        <f t="shared" ca="1" si="27"/>
        <v>55</v>
      </c>
      <c r="AQ24" s="4"/>
      <c r="AR24" s="3">
        <f t="shared" ca="1" si="28"/>
        <v>0.39999999999999858</v>
      </c>
      <c r="AS24" s="3">
        <f t="shared" ca="1" si="0"/>
        <v>0.79999999999999716</v>
      </c>
      <c r="AT24" s="3">
        <f t="shared" ca="1" si="1"/>
        <v>0</v>
      </c>
      <c r="AU24" s="4">
        <f t="shared" ca="1" si="29"/>
        <v>0</v>
      </c>
      <c r="AV24" s="4">
        <f t="shared" ca="1" si="30"/>
        <v>0.79999999999999716</v>
      </c>
      <c r="AW24" s="4"/>
      <c r="AX24" s="4"/>
    </row>
    <row r="25" spans="3:50" x14ac:dyDescent="0.2">
      <c r="C25" s="5">
        <f>Accuracy!F24</f>
        <v>60</v>
      </c>
      <c r="D25" s="5">
        <f>'Resistor Network'!AB25</f>
        <v>0.14367269267364416</v>
      </c>
      <c r="E25" s="5">
        <f>'Resistor Network'!AC25</f>
        <v>0.13978355156501587</v>
      </c>
      <c r="F25" s="5">
        <f>'Resistor Network'!AD25</f>
        <v>0.14765146680941596</v>
      </c>
      <c r="G25" s="8"/>
      <c r="H25" s="8"/>
      <c r="J25">
        <f t="shared" si="2"/>
        <v>4708</v>
      </c>
      <c r="K25">
        <f t="shared" si="3"/>
        <v>4580</v>
      </c>
      <c r="L25">
        <f t="shared" si="4"/>
        <v>4838</v>
      </c>
      <c r="N25" s="4">
        <f t="shared" si="5"/>
        <v>0.1436767578125</v>
      </c>
      <c r="O25" s="4">
        <f t="shared" si="6"/>
        <v>0.1397705078125</v>
      </c>
      <c r="P25" s="4">
        <f t="shared" si="7"/>
        <v>0.14764404296875</v>
      </c>
      <c r="Q25" s="4"/>
      <c r="R25" s="4">
        <f t="shared" ca="1" si="8"/>
        <v>0.53259147422961173</v>
      </c>
      <c r="S25" s="4">
        <f t="shared" ca="1" si="9"/>
        <v>0.52927644823813402</v>
      </c>
      <c r="T25" s="4">
        <f t="shared" ca="1" si="10"/>
        <v>0.53586830426676324</v>
      </c>
      <c r="V25" s="4">
        <f t="shared" ca="1" si="11"/>
        <v>0.53259147422961173</v>
      </c>
      <c r="W25" s="4">
        <f t="shared" ca="1" si="12"/>
        <v>0.52927644823813402</v>
      </c>
      <c r="X25" s="4">
        <f t="shared" ca="1" si="13"/>
        <v>0.53586830426676324</v>
      </c>
      <c r="Z25">
        <f t="shared" ca="1" si="14"/>
        <v>3333.9893140470103</v>
      </c>
      <c r="AA25">
        <f t="shared" ca="1" si="15"/>
        <v>3344.1376274231225</v>
      </c>
      <c r="AB25">
        <f t="shared" ca="1" si="16"/>
        <v>3323.9576948879953</v>
      </c>
      <c r="AC25" s="4"/>
      <c r="AD25" s="3">
        <f t="shared" ca="1" si="17"/>
        <v>60.2</v>
      </c>
      <c r="AE25" s="3">
        <f t="shared" ca="1" si="18"/>
        <v>61.3</v>
      </c>
      <c r="AF25" s="3">
        <f t="shared" ca="1" si="19"/>
        <v>59.2</v>
      </c>
      <c r="AG25" s="1"/>
      <c r="AH25" s="3">
        <f t="shared" ca="1" si="20"/>
        <v>0.20000000000000284</v>
      </c>
      <c r="AI25" s="3">
        <f t="shared" ca="1" si="21"/>
        <v>1.2999999999999972</v>
      </c>
      <c r="AJ25" s="3">
        <f t="shared" ca="1" si="22"/>
        <v>-0.79999999999999716</v>
      </c>
      <c r="AK25" s="4">
        <f t="shared" ca="1" si="23"/>
        <v>-0.79999999999999716</v>
      </c>
      <c r="AL25" s="4">
        <f t="shared" ca="1" si="24"/>
        <v>1.2999999999999972</v>
      </c>
      <c r="AN25" s="4">
        <f t="shared" ca="1" si="25"/>
        <v>60.300000000000004</v>
      </c>
      <c r="AO25" s="4">
        <f t="shared" ca="1" si="26"/>
        <v>60.8</v>
      </c>
      <c r="AP25" s="4">
        <f t="shared" ca="1" si="27"/>
        <v>59.800000000000004</v>
      </c>
      <c r="AQ25" s="4"/>
      <c r="AR25" s="3">
        <f t="shared" ca="1" si="28"/>
        <v>0.30000000000000426</v>
      </c>
      <c r="AS25" s="3">
        <f t="shared" ca="1" si="0"/>
        <v>0.79999999999999716</v>
      </c>
      <c r="AT25" s="3">
        <f t="shared" ca="1" si="1"/>
        <v>-0.19999999999999574</v>
      </c>
      <c r="AU25" s="4">
        <f t="shared" ca="1" si="29"/>
        <v>-0.19999999999999574</v>
      </c>
      <c r="AV25" s="4">
        <f t="shared" ca="1" si="30"/>
        <v>0.79999999999999716</v>
      </c>
      <c r="AW25" s="4"/>
      <c r="AX25" s="4"/>
    </row>
    <row r="26" spans="3:50" x14ac:dyDescent="0.2">
      <c r="C26" s="5">
        <f>Accuracy!F25</f>
        <v>65</v>
      </c>
      <c r="D26" s="5">
        <f>'Resistor Network'!AB26</f>
        <v>0.12570429376335729</v>
      </c>
      <c r="E26" s="5">
        <f>'Resistor Network'!AC26</f>
        <v>0.12206658863969023</v>
      </c>
      <c r="F26" s="5">
        <f>'Resistor Network'!AD26</f>
        <v>0.12943442353733431</v>
      </c>
      <c r="G26" s="8"/>
      <c r="H26" s="8"/>
      <c r="J26">
        <f t="shared" si="2"/>
        <v>4119</v>
      </c>
      <c r="K26">
        <f t="shared" si="3"/>
        <v>4000</v>
      </c>
      <c r="L26">
        <f t="shared" si="4"/>
        <v>4241</v>
      </c>
      <c r="N26" s="4">
        <f t="shared" si="5"/>
        <v>0.125701904296875</v>
      </c>
      <c r="O26" s="4">
        <f t="shared" si="6"/>
        <v>0.1220703125</v>
      </c>
      <c r="P26" s="4">
        <f t="shared" si="7"/>
        <v>0.129425048828125</v>
      </c>
      <c r="Q26" s="4"/>
      <c r="R26" s="4">
        <f t="shared" ca="1" si="8"/>
        <v>0.51650971262500733</v>
      </c>
      <c r="S26" s="4">
        <f t="shared" ca="1" si="9"/>
        <v>0.51297469020166631</v>
      </c>
      <c r="T26" s="4">
        <f t="shared" ca="1" si="10"/>
        <v>0.52002532638058774</v>
      </c>
      <c r="V26" s="4">
        <f t="shared" ca="1" si="11"/>
        <v>0.51650971262500733</v>
      </c>
      <c r="W26" s="4">
        <f t="shared" ca="1" si="12"/>
        <v>0.51297469020166631</v>
      </c>
      <c r="X26" s="4">
        <f t="shared" ca="1" si="13"/>
        <v>0.52002532638058774</v>
      </c>
      <c r="Z26">
        <f t="shared" ca="1" si="14"/>
        <v>3383.2181249546238</v>
      </c>
      <c r="AA26">
        <f t="shared" ca="1" si="15"/>
        <v>3394.0385272351145</v>
      </c>
      <c r="AB26">
        <f t="shared" ca="1" si="16"/>
        <v>3372.4568106848283</v>
      </c>
      <c r="AC26" s="4"/>
      <c r="AD26" s="3">
        <f t="shared" ca="1" si="17"/>
        <v>65.2</v>
      </c>
      <c r="AE26" s="3">
        <f t="shared" ca="1" si="18"/>
        <v>66.3</v>
      </c>
      <c r="AF26" s="3">
        <f t="shared" ca="1" si="19"/>
        <v>64.099999999999994</v>
      </c>
      <c r="AG26" s="1"/>
      <c r="AH26" s="3">
        <f t="shared" ca="1" si="20"/>
        <v>0.20000000000000284</v>
      </c>
      <c r="AI26" s="3">
        <f t="shared" ca="1" si="21"/>
        <v>1.2999999999999972</v>
      </c>
      <c r="AJ26" s="3">
        <f t="shared" ca="1" si="22"/>
        <v>-0.90000000000000568</v>
      </c>
      <c r="AK26" s="4">
        <f t="shared" ca="1" si="23"/>
        <v>-0.90000000000000568</v>
      </c>
      <c r="AL26" s="4">
        <f t="shared" ca="1" si="24"/>
        <v>1.2999999999999972</v>
      </c>
      <c r="AN26" s="4">
        <f t="shared" ca="1" si="25"/>
        <v>65.300000000000011</v>
      </c>
      <c r="AO26" s="4">
        <f t="shared" ca="1" si="26"/>
        <v>65.8</v>
      </c>
      <c r="AP26" s="4">
        <f t="shared" ca="1" si="27"/>
        <v>64.699999999999989</v>
      </c>
      <c r="AQ26" s="4"/>
      <c r="AR26" s="3">
        <f t="shared" ca="1" si="28"/>
        <v>0.30000000000001137</v>
      </c>
      <c r="AS26" s="3">
        <f t="shared" ca="1" si="0"/>
        <v>0.79999999999999716</v>
      </c>
      <c r="AT26" s="3">
        <f t="shared" ca="1" si="1"/>
        <v>-0.30000000000001137</v>
      </c>
      <c r="AU26" s="4">
        <f t="shared" ca="1" si="29"/>
        <v>-0.30000000000001137</v>
      </c>
      <c r="AV26" s="4">
        <f t="shared" ca="1" si="30"/>
        <v>0.79999999999999716</v>
      </c>
      <c r="AW26" s="4"/>
      <c r="AX26" s="4"/>
    </row>
    <row r="27" spans="3:50" x14ac:dyDescent="0.2">
      <c r="C27" s="5">
        <f>Accuracy!F26</f>
        <v>70</v>
      </c>
      <c r="D27" s="5">
        <f>'Resistor Network'!AB27</f>
        <v>0.11014435436029267</v>
      </c>
      <c r="E27" s="5">
        <f>'Resistor Network'!AC27</f>
        <v>0.10675895740683551</v>
      </c>
      <c r="F27" s="5">
        <f>'Resistor Network'!AD27</f>
        <v>0.11362344877759717</v>
      </c>
      <c r="G27" s="8"/>
      <c r="H27" s="8"/>
      <c r="J27">
        <f t="shared" si="2"/>
        <v>3609</v>
      </c>
      <c r="K27">
        <f t="shared" si="3"/>
        <v>3498</v>
      </c>
      <c r="L27">
        <f t="shared" si="4"/>
        <v>3723</v>
      </c>
      <c r="N27" s="4">
        <f t="shared" si="5"/>
        <v>0.110137939453125</v>
      </c>
      <c r="O27" s="4">
        <f t="shared" si="6"/>
        <v>0.10675048828125</v>
      </c>
      <c r="P27" s="4">
        <f t="shared" si="7"/>
        <v>0.113616943359375</v>
      </c>
      <c r="Q27" s="4"/>
      <c r="R27" s="4">
        <f t="shared" ca="1" si="8"/>
        <v>0.5005228233181388</v>
      </c>
      <c r="S27" s="4">
        <f t="shared" ca="1" si="9"/>
        <v>0.49672152903857369</v>
      </c>
      <c r="T27" s="4">
        <f t="shared" ca="1" si="10"/>
        <v>0.50429696536575375</v>
      </c>
      <c r="V27" s="4">
        <f t="shared" ca="1" si="11"/>
        <v>0.5005228233181388</v>
      </c>
      <c r="W27" s="4">
        <f t="shared" ca="1" si="12"/>
        <v>0.49672152903857369</v>
      </c>
      <c r="X27" s="4">
        <f t="shared" ca="1" si="13"/>
        <v>0.50429696536575375</v>
      </c>
      <c r="Z27">
        <f t="shared" ca="1" si="14"/>
        <v>3432.1498951406752</v>
      </c>
      <c r="AA27">
        <f t="shared" ca="1" si="15"/>
        <v>3443.783597671862</v>
      </c>
      <c r="AB27">
        <f t="shared" ca="1" si="16"/>
        <v>3420.5988638716694</v>
      </c>
      <c r="AC27" s="4"/>
      <c r="AD27" s="3">
        <f t="shared" ca="1" si="17"/>
        <v>70.099999999999994</v>
      </c>
      <c r="AE27" s="3">
        <f t="shared" ca="1" si="18"/>
        <v>71.2</v>
      </c>
      <c r="AF27" s="3">
        <f t="shared" ca="1" si="19"/>
        <v>68.900000000000006</v>
      </c>
      <c r="AG27" s="1"/>
      <c r="AH27" s="3">
        <f t="shared" ca="1" si="20"/>
        <v>9.9999999999994316E-2</v>
      </c>
      <c r="AI27" s="3">
        <f t="shared" ca="1" si="21"/>
        <v>1.2000000000000028</v>
      </c>
      <c r="AJ27" s="3">
        <f t="shared" ca="1" si="22"/>
        <v>-1.0999999999999943</v>
      </c>
      <c r="AK27" s="4">
        <f t="shared" ca="1" si="23"/>
        <v>-1.0999999999999943</v>
      </c>
      <c r="AL27" s="4">
        <f t="shared" ca="1" si="24"/>
        <v>1.2000000000000028</v>
      </c>
      <c r="AN27" s="4">
        <f t="shared" ca="1" si="25"/>
        <v>70.199999999999989</v>
      </c>
      <c r="AO27" s="4">
        <f t="shared" ca="1" si="26"/>
        <v>70.7</v>
      </c>
      <c r="AP27" s="4">
        <f t="shared" ca="1" si="27"/>
        <v>69.5</v>
      </c>
      <c r="AQ27" s="4"/>
      <c r="AR27" s="3">
        <f t="shared" ca="1" si="28"/>
        <v>0.19999999999998863</v>
      </c>
      <c r="AS27" s="3">
        <f t="shared" ca="1" si="0"/>
        <v>0.70000000000000284</v>
      </c>
      <c r="AT27" s="3">
        <f t="shared" ca="1" si="1"/>
        <v>-0.5</v>
      </c>
      <c r="AU27" s="4">
        <f t="shared" ca="1" si="29"/>
        <v>-0.5</v>
      </c>
      <c r="AV27" s="4">
        <f t="shared" ca="1" si="30"/>
        <v>0.70000000000000284</v>
      </c>
      <c r="AW27" s="4"/>
      <c r="AX27" s="4"/>
    </row>
    <row r="28" spans="3:50" x14ac:dyDescent="0.2">
      <c r="C28" s="5">
        <f>Accuracy!F27</f>
        <v>75</v>
      </c>
      <c r="D28" s="5">
        <f>'Resistor Network'!AB28</f>
        <v>9.6566954426821922E-2</v>
      </c>
      <c r="E28" s="5">
        <f>'Resistor Network'!AC28</f>
        <v>9.3430668691448657E-2</v>
      </c>
      <c r="F28" s="5">
        <f>'Resistor Network'!AD28</f>
        <v>9.9796929851459965E-2</v>
      </c>
      <c r="G28" s="8"/>
      <c r="H28" s="8"/>
      <c r="J28">
        <f t="shared" si="2"/>
        <v>3164</v>
      </c>
      <c r="K28">
        <f t="shared" si="3"/>
        <v>3062</v>
      </c>
      <c r="L28">
        <f t="shared" si="4"/>
        <v>3270</v>
      </c>
      <c r="N28" s="4">
        <f t="shared" si="5"/>
        <v>9.65576171875E-2</v>
      </c>
      <c r="O28" s="4">
        <f t="shared" si="6"/>
        <v>9.344482421875E-2</v>
      </c>
      <c r="P28" s="4">
        <f t="shared" si="7"/>
        <v>9.979248046875E-2</v>
      </c>
      <c r="Q28" s="4"/>
      <c r="R28" s="4">
        <f t="shared" ca="1" si="8"/>
        <v>0.4844273411185519</v>
      </c>
      <c r="S28" s="4">
        <f t="shared" ca="1" si="9"/>
        <v>0.48038111721687859</v>
      </c>
      <c r="T28" s="4">
        <f t="shared" ca="1" si="10"/>
        <v>0.48847964365233815</v>
      </c>
      <c r="V28" s="4">
        <f t="shared" ca="1" si="11"/>
        <v>0.4844273411185519</v>
      </c>
      <c r="W28" s="4">
        <f t="shared" ca="1" si="12"/>
        <v>0.48038111721687859</v>
      </c>
      <c r="X28" s="4">
        <f t="shared" ca="1" si="13"/>
        <v>0.48847964365233815</v>
      </c>
      <c r="Z28">
        <f t="shared" ca="1" si="14"/>
        <v>3481.4063262785321</v>
      </c>
      <c r="AA28">
        <f t="shared" ca="1" si="15"/>
        <v>3493.7875000939202</v>
      </c>
      <c r="AB28">
        <f t="shared" ca="1" si="16"/>
        <v>3469.0059956063046</v>
      </c>
      <c r="AC28" s="4"/>
      <c r="AD28" s="3">
        <f t="shared" ca="1" si="17"/>
        <v>75</v>
      </c>
      <c r="AE28" s="3">
        <f t="shared" ca="1" si="18"/>
        <v>76.2</v>
      </c>
      <c r="AF28" s="3">
        <f t="shared" ca="1" si="19"/>
        <v>73.8</v>
      </c>
      <c r="AG28" s="1"/>
      <c r="AH28" s="3">
        <f t="shared" ca="1" si="20"/>
        <v>0</v>
      </c>
      <c r="AI28" s="3">
        <f t="shared" ca="1" si="21"/>
        <v>1.2000000000000028</v>
      </c>
      <c r="AJ28" s="3">
        <f t="shared" ca="1" si="22"/>
        <v>-1.2000000000000028</v>
      </c>
      <c r="AK28" s="4">
        <f t="shared" ca="1" si="23"/>
        <v>-1.2000000000000028</v>
      </c>
      <c r="AL28" s="4">
        <f t="shared" ca="1" si="24"/>
        <v>1.2000000000000028</v>
      </c>
      <c r="AN28" s="4">
        <f t="shared" ca="1" si="25"/>
        <v>75.099999999999994</v>
      </c>
      <c r="AO28" s="4">
        <f t="shared" ca="1" si="26"/>
        <v>75.7</v>
      </c>
      <c r="AP28" s="4">
        <f t="shared" ca="1" si="27"/>
        <v>74.400000000000006</v>
      </c>
      <c r="AQ28" s="4"/>
      <c r="AR28" s="3">
        <f t="shared" ca="1" si="28"/>
        <v>9.9999999999994316E-2</v>
      </c>
      <c r="AS28" s="3">
        <f t="shared" ca="1" si="0"/>
        <v>0.70000000000000284</v>
      </c>
      <c r="AT28" s="3">
        <f t="shared" ca="1" si="1"/>
        <v>-0.59999999999999432</v>
      </c>
      <c r="AU28" s="4">
        <f t="shared" ca="1" si="29"/>
        <v>-0.59999999999999432</v>
      </c>
      <c r="AV28" s="4">
        <f t="shared" ca="1" si="30"/>
        <v>0.70000000000000284</v>
      </c>
      <c r="AW28" s="4"/>
      <c r="AX28" s="4"/>
    </row>
    <row r="29" spans="3:50" x14ac:dyDescent="0.2">
      <c r="C29" s="5">
        <f>Accuracy!F28</f>
        <v>80</v>
      </c>
      <c r="D29" s="5">
        <f>'Resistor Network'!AB29</f>
        <v>8.4807809640024406E-2</v>
      </c>
      <c r="E29" s="5">
        <f>'Resistor Network'!AC29</f>
        <v>8.1911325268575641E-2</v>
      </c>
      <c r="F29" s="5">
        <f>'Resistor Network'!AD29</f>
        <v>8.7796922487789295E-2</v>
      </c>
      <c r="G29" s="8"/>
      <c r="H29" s="8"/>
      <c r="J29">
        <f t="shared" si="2"/>
        <v>2779</v>
      </c>
      <c r="K29">
        <f t="shared" si="3"/>
        <v>2684</v>
      </c>
      <c r="L29">
        <f t="shared" si="4"/>
        <v>2877</v>
      </c>
      <c r="N29" s="4">
        <f t="shared" si="5"/>
        <v>8.4808349609375E-2</v>
      </c>
      <c r="O29" s="4">
        <f t="shared" si="6"/>
        <v>8.19091796875E-2</v>
      </c>
      <c r="P29" s="4">
        <f t="shared" si="7"/>
        <v>8.7799072265625E-2</v>
      </c>
      <c r="Q29" s="4"/>
      <c r="R29" s="4">
        <f t="shared" ca="1" si="8"/>
        <v>0.468298447997675</v>
      </c>
      <c r="S29" s="4">
        <f t="shared" ca="1" si="9"/>
        <v>0.46392155022520304</v>
      </c>
      <c r="T29" s="4">
        <f t="shared" ca="1" si="10"/>
        <v>0.47263608890441411</v>
      </c>
      <c r="V29" s="4">
        <f t="shared" ca="1" si="11"/>
        <v>0.468298447997675</v>
      </c>
      <c r="W29" s="4">
        <f t="shared" ca="1" si="12"/>
        <v>0.46392155022520304</v>
      </c>
      <c r="X29" s="4">
        <f t="shared" ca="1" si="13"/>
        <v>0.47263608890441411</v>
      </c>
      <c r="Z29">
        <f t="shared" ca="1" si="14"/>
        <v>3530.7561869700612</v>
      </c>
      <c r="AA29">
        <f t="shared" ca="1" si="15"/>
        <v>3544.1465983272228</v>
      </c>
      <c r="AB29">
        <f t="shared" ca="1" si="16"/>
        <v>3517.4851575883386</v>
      </c>
      <c r="AC29" s="4"/>
      <c r="AD29" s="3">
        <f t="shared" ca="1" si="17"/>
        <v>79.900000000000006</v>
      </c>
      <c r="AE29" s="3">
        <f t="shared" ca="1" si="18"/>
        <v>81.3</v>
      </c>
      <c r="AF29" s="3">
        <f t="shared" ca="1" si="19"/>
        <v>78.599999999999994</v>
      </c>
      <c r="AG29" s="1"/>
      <c r="AH29" s="3">
        <f t="shared" ca="1" si="20"/>
        <v>-9.9999999999994316E-2</v>
      </c>
      <c r="AI29" s="3">
        <f t="shared" ca="1" si="21"/>
        <v>1.2999999999999972</v>
      </c>
      <c r="AJ29" s="3">
        <f t="shared" ca="1" si="22"/>
        <v>-1.4000000000000057</v>
      </c>
      <c r="AK29" s="4">
        <f t="shared" ca="1" si="23"/>
        <v>-1.4000000000000057</v>
      </c>
      <c r="AL29" s="4">
        <f t="shared" ca="1" si="24"/>
        <v>1.2999999999999972</v>
      </c>
      <c r="AN29" s="4">
        <f t="shared" ca="1" si="25"/>
        <v>80</v>
      </c>
      <c r="AO29" s="4">
        <f t="shared" ca="1" si="26"/>
        <v>80.8</v>
      </c>
      <c r="AP29" s="4">
        <f t="shared" ca="1" si="27"/>
        <v>79.199999999999989</v>
      </c>
      <c r="AQ29" s="4"/>
      <c r="AR29" s="3">
        <f t="shared" ca="1" si="28"/>
        <v>0</v>
      </c>
      <c r="AS29" s="3">
        <f t="shared" ca="1" si="0"/>
        <v>0.79999999999999716</v>
      </c>
      <c r="AT29" s="3">
        <f t="shared" ca="1" si="1"/>
        <v>-0.80000000000001137</v>
      </c>
      <c r="AU29" s="4">
        <f t="shared" ca="1" si="29"/>
        <v>-0.80000000000001137</v>
      </c>
      <c r="AV29" s="4">
        <f t="shared" ca="1" si="30"/>
        <v>0.79999999999999716</v>
      </c>
      <c r="AW29" s="4"/>
      <c r="AX29" s="4"/>
    </row>
    <row r="30" spans="3:50" x14ac:dyDescent="0.2">
      <c r="C30" s="5">
        <f>Accuracy!F29</f>
        <v>85</v>
      </c>
      <c r="D30" s="5">
        <f>'Resistor Network'!AB30</f>
        <v>7.4597707058763049E-2</v>
      </c>
      <c r="E30" s="5">
        <f>'Resistor Network'!AC30</f>
        <v>7.1929396874874901E-2</v>
      </c>
      <c r="F30" s="5">
        <f>'Resistor Network'!AD30</f>
        <v>7.7356750958424994E-2</v>
      </c>
      <c r="G30" s="8"/>
      <c r="H30" s="8"/>
      <c r="J30">
        <f t="shared" si="2"/>
        <v>2444</v>
      </c>
      <c r="K30">
        <f t="shared" si="3"/>
        <v>2357</v>
      </c>
      <c r="L30">
        <f t="shared" si="4"/>
        <v>2535</v>
      </c>
      <c r="N30" s="4">
        <f t="shared" si="5"/>
        <v>7.45849609375E-2</v>
      </c>
      <c r="O30" s="4">
        <f t="shared" si="6"/>
        <v>7.1929931640625E-2</v>
      </c>
      <c r="P30" s="4">
        <f t="shared" si="7"/>
        <v>7.7362060546875E-2</v>
      </c>
      <c r="Q30" s="4"/>
      <c r="R30" s="4">
        <f t="shared" ca="1" si="8"/>
        <v>0.4520090469850126</v>
      </c>
      <c r="S30" s="4">
        <f t="shared" ca="1" si="9"/>
        <v>0.44734762969124281</v>
      </c>
      <c r="T30" s="4">
        <f t="shared" ca="1" si="10"/>
        <v>0.45668064507971567</v>
      </c>
      <c r="V30" s="4">
        <f t="shared" ca="1" si="11"/>
        <v>0.4520090469850126</v>
      </c>
      <c r="W30" s="4">
        <f t="shared" ca="1" si="12"/>
        <v>0.44734762969124281</v>
      </c>
      <c r="X30" s="4">
        <f t="shared" ca="1" si="13"/>
        <v>0.45668064507971567</v>
      </c>
      <c r="Z30">
        <f t="shared" ca="1" si="14"/>
        <v>3580.5871224906805</v>
      </c>
      <c r="AA30">
        <f t="shared" ca="1" si="15"/>
        <v>3594.8448646471834</v>
      </c>
      <c r="AB30">
        <f t="shared" ca="1" si="16"/>
        <v>3566.2973229865397</v>
      </c>
      <c r="AC30" s="4"/>
      <c r="AD30" s="3">
        <f t="shared" ca="1" si="17"/>
        <v>84.9</v>
      </c>
      <c r="AE30" s="3">
        <f t="shared" ca="1" si="18"/>
        <v>86.3</v>
      </c>
      <c r="AF30" s="3">
        <f t="shared" ca="1" si="19"/>
        <v>83.5</v>
      </c>
      <c r="AG30" s="1"/>
      <c r="AH30" s="3">
        <f t="shared" ca="1" si="20"/>
        <v>-9.9999999999994316E-2</v>
      </c>
      <c r="AI30" s="3">
        <f t="shared" ca="1" si="21"/>
        <v>1.2999999999999972</v>
      </c>
      <c r="AJ30" s="3">
        <f t="shared" ca="1" si="22"/>
        <v>-1.5</v>
      </c>
      <c r="AK30" s="4">
        <f t="shared" ca="1" si="23"/>
        <v>-1.5</v>
      </c>
      <c r="AL30" s="4">
        <f t="shared" ca="1" si="24"/>
        <v>1.2999999999999972</v>
      </c>
      <c r="AM30" s="20"/>
      <c r="AN30" s="4">
        <f t="shared" ca="1" si="25"/>
        <v>85</v>
      </c>
      <c r="AO30" s="4">
        <f t="shared" ca="1" si="26"/>
        <v>85.8</v>
      </c>
      <c r="AP30" s="4">
        <f t="shared" ca="1" si="27"/>
        <v>84.1</v>
      </c>
      <c r="AQ30" s="38"/>
      <c r="AR30" s="3">
        <f t="shared" ca="1" si="28"/>
        <v>0</v>
      </c>
      <c r="AS30" s="3">
        <f t="shared" ca="1" si="0"/>
        <v>0.79999999999999716</v>
      </c>
      <c r="AT30" s="3">
        <f t="shared" ca="1" si="1"/>
        <v>-0.90000000000000568</v>
      </c>
      <c r="AU30" s="4">
        <f t="shared" ca="1" si="29"/>
        <v>-0.90000000000000568</v>
      </c>
      <c r="AV30" s="4">
        <f t="shared" ca="1" si="30"/>
        <v>0.79999999999999716</v>
      </c>
      <c r="AW30" s="4"/>
      <c r="AX30" s="4"/>
    </row>
    <row r="31" spans="3:50" x14ac:dyDescent="0.2">
      <c r="C31" s="5">
        <f>Accuracy!F30</f>
        <v>90</v>
      </c>
      <c r="D31" s="5">
        <f>'Resistor Network'!AB31</f>
        <v>6.5711616318903765E-2</v>
      </c>
      <c r="E31" s="5">
        <f>'Resistor Network'!AC31</f>
        <v>6.3258531358917305E-2</v>
      </c>
      <c r="F31" s="5">
        <f>'Resistor Network'!AD31</f>
        <v>6.8252897593079162E-2</v>
      </c>
      <c r="G31" s="8"/>
      <c r="H31" s="8"/>
      <c r="J31">
        <f t="shared" si="2"/>
        <v>2153</v>
      </c>
      <c r="K31">
        <f t="shared" si="3"/>
        <v>2073</v>
      </c>
      <c r="L31">
        <f t="shared" si="4"/>
        <v>2237</v>
      </c>
      <c r="N31" s="4">
        <f t="shared" si="5"/>
        <v>6.5704345703125E-2</v>
      </c>
      <c r="O31" s="4">
        <f t="shared" si="6"/>
        <v>6.3262939453125E-2</v>
      </c>
      <c r="P31" s="4">
        <f t="shared" si="7"/>
        <v>6.8267822265625E-2</v>
      </c>
      <c r="Q31" s="4"/>
      <c r="R31" s="4">
        <f t="shared" ca="1" si="8"/>
        <v>0.43557170518651395</v>
      </c>
      <c r="S31" s="4">
        <f t="shared" ca="1" si="9"/>
        <v>0.4305877755344214</v>
      </c>
      <c r="T31" s="4">
        <f t="shared" ca="1" si="10"/>
        <v>0.44057409549203358</v>
      </c>
      <c r="V31" s="4">
        <f t="shared" ca="1" si="11"/>
        <v>0.43557170518651395</v>
      </c>
      <c r="W31" s="4">
        <f t="shared" ca="1" si="12"/>
        <v>0.4305877755344214</v>
      </c>
      <c r="X31" s="4">
        <f t="shared" ca="1" si="13"/>
        <v>0.44057409549203358</v>
      </c>
      <c r="Z31">
        <f t="shared" ca="1" si="14"/>
        <v>3630.8592986273143</v>
      </c>
      <c r="AA31">
        <f t="shared" ca="1" si="15"/>
        <v>3646.099795977334</v>
      </c>
      <c r="AB31">
        <f t="shared" ca="1" si="16"/>
        <v>3615.5611951007272</v>
      </c>
      <c r="AC31" s="4"/>
      <c r="AD31" s="3">
        <f t="shared" ca="1" si="17"/>
        <v>89.9</v>
      </c>
      <c r="AE31" s="3">
        <f t="shared" ca="1" si="18"/>
        <v>91.5</v>
      </c>
      <c r="AF31" s="3">
        <f t="shared" ca="1" si="19"/>
        <v>88.4</v>
      </c>
      <c r="AG31" s="1"/>
      <c r="AH31" s="3">
        <f t="shared" ca="1" si="20"/>
        <v>-9.9999999999994316E-2</v>
      </c>
      <c r="AI31" s="3">
        <f t="shared" ca="1" si="21"/>
        <v>1.5</v>
      </c>
      <c r="AJ31" s="3">
        <f t="shared" ca="1" si="22"/>
        <v>-1.5999999999999943</v>
      </c>
      <c r="AK31" s="4">
        <f t="shared" ca="1" si="23"/>
        <v>-1.5999999999999943</v>
      </c>
      <c r="AL31" s="4">
        <f t="shared" ca="1" si="24"/>
        <v>1.5</v>
      </c>
      <c r="AM31" s="20"/>
      <c r="AN31" s="4">
        <f t="shared" ca="1" si="25"/>
        <v>90</v>
      </c>
      <c r="AO31" s="4">
        <f t="shared" ca="1" si="26"/>
        <v>91</v>
      </c>
      <c r="AP31" s="4">
        <f t="shared" ca="1" si="27"/>
        <v>89</v>
      </c>
      <c r="AQ31" s="38"/>
      <c r="AR31" s="3">
        <f t="shared" ca="1" si="28"/>
        <v>0</v>
      </c>
      <c r="AS31" s="3">
        <f t="shared" ca="1" si="0"/>
        <v>1</v>
      </c>
      <c r="AT31" s="3">
        <f t="shared" ca="1" si="1"/>
        <v>-1</v>
      </c>
      <c r="AU31" s="4">
        <f t="shared" ca="1" si="29"/>
        <v>-1</v>
      </c>
      <c r="AV31" s="4">
        <f t="shared" ca="1" si="30"/>
        <v>1</v>
      </c>
      <c r="AW31" s="4"/>
      <c r="AX31" s="4"/>
    </row>
    <row r="32" spans="3:50" x14ac:dyDescent="0.2">
      <c r="C32" s="5">
        <f>Accuracy!F31</f>
        <v>95</v>
      </c>
      <c r="D32" s="5">
        <f>'Resistor Network'!AB32</f>
        <v>5.798618379736236E-2</v>
      </c>
      <c r="E32" s="5">
        <f>'Resistor Network'!AC32</f>
        <v>5.5734074265982467E-2</v>
      </c>
      <c r="F32" s="5">
        <f>'Resistor Network'!AD32</f>
        <v>6.0323483186692242E-2</v>
      </c>
      <c r="G32" s="8"/>
      <c r="H32" s="8"/>
      <c r="J32">
        <f t="shared" si="2"/>
        <v>1900</v>
      </c>
      <c r="K32">
        <f t="shared" si="3"/>
        <v>1826</v>
      </c>
      <c r="L32">
        <f t="shared" si="4"/>
        <v>1977</v>
      </c>
      <c r="N32" s="4">
        <f t="shared" si="5"/>
        <v>5.79833984375E-2</v>
      </c>
      <c r="O32" s="4">
        <f t="shared" si="6"/>
        <v>5.572509765625E-2</v>
      </c>
      <c r="P32" s="4">
        <f t="shared" si="7"/>
        <v>6.0333251953125E-2</v>
      </c>
      <c r="Q32" s="4"/>
      <c r="R32" s="4">
        <f t="shared" ca="1" si="8"/>
        <v>0.41898408138053178</v>
      </c>
      <c r="S32" s="4">
        <f t="shared" ca="1" si="9"/>
        <v>0.41363205365521388</v>
      </c>
      <c r="T32" s="4">
        <f t="shared" ca="1" si="10"/>
        <v>0.42429719998075399</v>
      </c>
      <c r="V32" s="4">
        <f t="shared" ca="1" si="11"/>
        <v>0.41898408138053178</v>
      </c>
      <c r="W32" s="4">
        <f t="shared" ca="1" si="12"/>
        <v>0.41363205365521388</v>
      </c>
      <c r="X32" s="4">
        <f t="shared" ca="1" si="13"/>
        <v>0.42429719998075399</v>
      </c>
      <c r="Z32">
        <f t="shared" ca="1" si="14"/>
        <v>3681.5784315645496</v>
      </c>
      <c r="AA32">
        <f t="shared" ca="1" si="15"/>
        <v>3697.9401497470353</v>
      </c>
      <c r="AB32">
        <f t="shared" ca="1" si="16"/>
        <v>3665.3342342082296</v>
      </c>
      <c r="AC32" s="4"/>
      <c r="AD32" s="3">
        <f t="shared" ca="1" si="17"/>
        <v>95</v>
      </c>
      <c r="AE32" s="3">
        <f t="shared" ca="1" si="18"/>
        <v>96.6</v>
      </c>
      <c r="AF32" s="3">
        <f t="shared" ca="1" si="19"/>
        <v>93.4</v>
      </c>
      <c r="AG32" s="1"/>
      <c r="AH32" s="3">
        <f t="shared" ca="1" si="20"/>
        <v>0</v>
      </c>
      <c r="AI32" s="3">
        <f t="shared" ca="1" si="21"/>
        <v>1.5999999999999943</v>
      </c>
      <c r="AJ32" s="3">
        <f t="shared" ca="1" si="22"/>
        <v>-1.5999999999999943</v>
      </c>
      <c r="AK32" s="4">
        <f t="shared" ca="1" si="23"/>
        <v>-1.5999999999999943</v>
      </c>
      <c r="AL32" s="4">
        <f t="shared" ca="1" si="24"/>
        <v>1.5999999999999943</v>
      </c>
      <c r="AM32" s="20"/>
      <c r="AN32" s="4">
        <f t="shared" ca="1" si="25"/>
        <v>95.1</v>
      </c>
      <c r="AO32" s="4">
        <f t="shared" ca="1" si="26"/>
        <v>96.1</v>
      </c>
      <c r="AP32" s="4">
        <f t="shared" ca="1" si="27"/>
        <v>94</v>
      </c>
      <c r="AQ32" s="38"/>
      <c r="AR32" s="3">
        <f t="shared" ca="1" si="28"/>
        <v>9.9999999999994316E-2</v>
      </c>
      <c r="AS32" s="3">
        <f t="shared" ca="1" si="0"/>
        <v>1.0999999999999943</v>
      </c>
      <c r="AT32" s="3">
        <f t="shared" ca="1" si="1"/>
        <v>-1</v>
      </c>
      <c r="AU32" s="4">
        <f t="shared" ca="1" si="29"/>
        <v>-1</v>
      </c>
      <c r="AV32" s="4">
        <f t="shared" ca="1" si="30"/>
        <v>1.0999999999999943</v>
      </c>
      <c r="AW32" s="4"/>
      <c r="AX32" s="4"/>
    </row>
    <row r="33" spans="3:50" x14ac:dyDescent="0.2">
      <c r="C33" s="5">
        <f>Accuracy!F32</f>
        <v>100</v>
      </c>
      <c r="D33" s="5">
        <f>'Resistor Network'!AB33</f>
        <v>5.1288403054851349E-2</v>
      </c>
      <c r="E33" s="5">
        <f>'Resistor Network'!AC33</f>
        <v>4.9222024888942409E-2</v>
      </c>
      <c r="F33" s="5">
        <f>'Resistor Network'!AD33</f>
        <v>5.3436653840495132E-2</v>
      </c>
      <c r="G33" s="8"/>
      <c r="H33" s="8"/>
      <c r="J33">
        <f t="shared" si="2"/>
        <v>1681</v>
      </c>
      <c r="K33">
        <f t="shared" si="3"/>
        <v>1613</v>
      </c>
      <c r="L33">
        <f t="shared" si="4"/>
        <v>1751</v>
      </c>
      <c r="N33" s="4">
        <f t="shared" si="5"/>
        <v>5.1300048828125E-2</v>
      </c>
      <c r="O33" s="4">
        <f t="shared" si="6"/>
        <v>4.9224853515625E-2</v>
      </c>
      <c r="P33" s="4">
        <f t="shared" si="7"/>
        <v>5.3436279296875E-2</v>
      </c>
      <c r="Q33" s="4"/>
      <c r="R33" s="4">
        <f t="shared" ca="1" si="8"/>
        <v>0.40236104748712559</v>
      </c>
      <c r="S33" s="4">
        <f t="shared" ca="1" si="9"/>
        <v>0.39667430056907382</v>
      </c>
      <c r="T33" s="4">
        <f t="shared" ca="1" si="10"/>
        <v>0.40793955309947566</v>
      </c>
      <c r="V33" s="4">
        <f t="shared" ca="1" si="11"/>
        <v>0.40236104748712559</v>
      </c>
      <c r="W33" s="4">
        <f t="shared" ca="1" si="12"/>
        <v>0.39667430056907382</v>
      </c>
      <c r="X33" s="4">
        <f t="shared" ca="1" si="13"/>
        <v>0.40793955309947566</v>
      </c>
      <c r="Z33">
        <f t="shared" ca="1" si="14"/>
        <v>3732.3919189232929</v>
      </c>
      <c r="AA33">
        <f t="shared" ca="1" si="15"/>
        <v>3749.7718288202441</v>
      </c>
      <c r="AB33">
        <f t="shared" ca="1" si="16"/>
        <v>3715.3411014479943</v>
      </c>
      <c r="AC33" s="4"/>
      <c r="AD33" s="3">
        <f t="shared" ca="1" si="17"/>
        <v>100.1</v>
      </c>
      <c r="AE33" s="3">
        <f t="shared" ca="1" si="18"/>
        <v>101.8</v>
      </c>
      <c r="AF33" s="3">
        <f t="shared" ca="1" si="19"/>
        <v>98.4</v>
      </c>
      <c r="AG33" s="1"/>
      <c r="AH33" s="3">
        <f t="shared" ca="1" si="20"/>
        <v>9.9999999999994316E-2</v>
      </c>
      <c r="AI33" s="3">
        <f t="shared" ca="1" si="21"/>
        <v>1.7999999999999972</v>
      </c>
      <c r="AJ33" s="3">
        <f t="shared" ca="1" si="22"/>
        <v>-1.5999999999999943</v>
      </c>
      <c r="AK33" s="4">
        <f t="shared" ca="1" si="23"/>
        <v>-1.5999999999999943</v>
      </c>
      <c r="AL33" s="4">
        <f t="shared" ca="1" si="24"/>
        <v>1.7999999999999972</v>
      </c>
      <c r="AM33" s="20"/>
      <c r="AN33" s="4">
        <f t="shared" ca="1" si="25"/>
        <v>100.19999999999999</v>
      </c>
      <c r="AO33" s="4">
        <f t="shared" ca="1" si="26"/>
        <v>101.3</v>
      </c>
      <c r="AP33" s="4">
        <f t="shared" ca="1" si="27"/>
        <v>99</v>
      </c>
      <c r="AQ33" s="38"/>
      <c r="AR33" s="3">
        <f t="shared" ca="1" si="28"/>
        <v>0.19999999999998863</v>
      </c>
      <c r="AS33" s="3">
        <f t="shared" ca="1" si="0"/>
        <v>1.2999999999999972</v>
      </c>
      <c r="AT33" s="3">
        <f t="shared" ca="1" si="1"/>
        <v>-1</v>
      </c>
      <c r="AU33" s="4">
        <f t="shared" ca="1" si="29"/>
        <v>-1</v>
      </c>
      <c r="AV33" s="4">
        <f t="shared" ca="1" si="30"/>
        <v>1.2999999999999972</v>
      </c>
      <c r="AW33" s="4"/>
      <c r="AX33" s="4"/>
    </row>
    <row r="34" spans="3:50" x14ac:dyDescent="0.2">
      <c r="C34" s="5">
        <f>Accuracy!F33</f>
        <v>105</v>
      </c>
      <c r="D34" s="5">
        <f>'Resistor Network'!AB34</f>
        <v>4.5457438007763612E-2</v>
      </c>
      <c r="E34" s="5">
        <f>'Resistor Network'!AC34</f>
        <v>4.3562317706876685E-2</v>
      </c>
      <c r="F34" s="5">
        <f>'Resistor Network'!AD34</f>
        <v>4.7430914447656888E-2</v>
      </c>
      <c r="G34" s="8"/>
      <c r="H34" s="8"/>
      <c r="J34">
        <f t="shared" si="2"/>
        <v>1490</v>
      </c>
      <c r="K34">
        <f t="shared" si="3"/>
        <v>1427</v>
      </c>
      <c r="L34">
        <f t="shared" si="4"/>
        <v>1554</v>
      </c>
      <c r="N34" s="4">
        <f t="shared" si="5"/>
        <v>4.547119140625E-2</v>
      </c>
      <c r="O34" s="4">
        <f t="shared" si="6"/>
        <v>4.3548583984375E-2</v>
      </c>
      <c r="P34" s="4">
        <f t="shared" si="7"/>
        <v>4.742431640625E-2</v>
      </c>
      <c r="Q34" s="4"/>
      <c r="R34" s="4">
        <f t="shared" ca="1" si="8"/>
        <v>0.38563969643968582</v>
      </c>
      <c r="S34" s="4">
        <f t="shared" ca="1" si="9"/>
        <v>0.37957088700977831</v>
      </c>
      <c r="T34" s="4">
        <f t="shared" ca="1" si="10"/>
        <v>0.39150819960318201</v>
      </c>
      <c r="V34" s="4">
        <f t="shared" ca="1" si="11"/>
        <v>0.38563969643968582</v>
      </c>
      <c r="W34" s="4">
        <f t="shared" ca="1" si="12"/>
        <v>0.37957088700977831</v>
      </c>
      <c r="X34" s="4">
        <f t="shared" ca="1" si="13"/>
        <v>0.39150819960318201</v>
      </c>
      <c r="Z34">
        <f t="shared" ca="1" si="14"/>
        <v>3783.4907181505669</v>
      </c>
      <c r="AA34">
        <f t="shared" ca="1" si="15"/>
        <v>3802.0323953676452</v>
      </c>
      <c r="AB34">
        <f t="shared" ca="1" si="16"/>
        <v>3765.5589640714925</v>
      </c>
      <c r="AC34" s="4"/>
      <c r="AD34" s="3">
        <f t="shared" ca="1" si="17"/>
        <v>105.2</v>
      </c>
      <c r="AE34" s="3">
        <f t="shared" ca="1" si="18"/>
        <v>107.1</v>
      </c>
      <c r="AF34" s="3">
        <f t="shared" ca="1" si="19"/>
        <v>103.4</v>
      </c>
      <c r="AG34" s="1"/>
      <c r="AH34" s="3">
        <f t="shared" ca="1" si="20"/>
        <v>0.20000000000000284</v>
      </c>
      <c r="AI34" s="3">
        <f t="shared" ca="1" si="21"/>
        <v>2.0999999999999943</v>
      </c>
      <c r="AJ34" s="3">
        <f t="shared" ca="1" si="22"/>
        <v>-1.5999999999999943</v>
      </c>
      <c r="AK34" s="4">
        <f t="shared" ca="1" si="23"/>
        <v>-1.5999999999999943</v>
      </c>
      <c r="AL34" s="4">
        <f t="shared" ca="1" si="24"/>
        <v>2.0999999999999943</v>
      </c>
      <c r="AM34" s="20"/>
      <c r="AN34" s="4">
        <f t="shared" ca="1" si="25"/>
        <v>105.30000000000001</v>
      </c>
      <c r="AO34" s="4">
        <f t="shared" ca="1" si="26"/>
        <v>106.6</v>
      </c>
      <c r="AP34" s="4">
        <f t="shared" ca="1" si="27"/>
        <v>104</v>
      </c>
      <c r="AQ34" s="38"/>
      <c r="AR34" s="3">
        <f t="shared" ca="1" si="28"/>
        <v>0.30000000000001137</v>
      </c>
      <c r="AS34" s="3">
        <f t="shared" ca="1" si="0"/>
        <v>1.5999999999999943</v>
      </c>
      <c r="AT34" s="3">
        <f t="shared" ca="1" si="1"/>
        <v>-1</v>
      </c>
      <c r="AU34" s="4">
        <f t="shared" ca="1" si="29"/>
        <v>-1</v>
      </c>
      <c r="AV34" s="4">
        <f t="shared" ca="1" si="30"/>
        <v>1.5999999999999943</v>
      </c>
      <c r="AW34" s="4"/>
      <c r="AX34" s="4"/>
    </row>
    <row r="35" spans="3:50" x14ac:dyDescent="0.2">
      <c r="C35" s="5">
        <f>Accuracy!F34</f>
        <v>110</v>
      </c>
      <c r="D35" s="5">
        <f>'Resistor Network'!AB35</f>
        <v>4.0388962340597946E-2</v>
      </c>
      <c r="E35" s="5">
        <f>'Resistor Network'!AC35</f>
        <v>3.8650659957484026E-2</v>
      </c>
      <c r="F35" s="5">
        <f>'Resistor Network'!AD35</f>
        <v>4.2202012389243232E-2</v>
      </c>
      <c r="G35" s="8"/>
      <c r="H35" s="8"/>
      <c r="J35">
        <f t="shared" si="2"/>
        <v>1323</v>
      </c>
      <c r="K35">
        <f t="shared" si="3"/>
        <v>1267</v>
      </c>
      <c r="L35">
        <f t="shared" si="4"/>
        <v>1383</v>
      </c>
      <c r="N35" s="4">
        <f t="shared" si="5"/>
        <v>4.0374755859375E-2</v>
      </c>
      <c r="O35" s="4">
        <f t="shared" si="6"/>
        <v>3.8665771484375E-2</v>
      </c>
      <c r="P35" s="4">
        <f t="shared" si="7"/>
        <v>4.2205810546875E-2</v>
      </c>
      <c r="Q35" s="4"/>
      <c r="R35" s="4">
        <f t="shared" ca="1" si="8"/>
        <v>0.36884769773850234</v>
      </c>
      <c r="S35" s="4">
        <f t="shared" ref="S35:T40" ca="1" si="31">O35/($R$42*O35^4+$R$43*O35^3+$R$44*O35^2+$R$45*O35+$R$46)*2^14</f>
        <v>0.36266961984344576</v>
      </c>
      <c r="T35" s="4">
        <f t="shared" ca="1" si="31"/>
        <v>0.37514669327956751</v>
      </c>
      <c r="V35" s="4">
        <f t="shared" ca="1" si="11"/>
        <v>0.36884769773850234</v>
      </c>
      <c r="W35" s="4">
        <f t="shared" ca="1" si="12"/>
        <v>0.36266961984344576</v>
      </c>
      <c r="X35" s="4">
        <f t="shared" ca="1" si="13"/>
        <v>0.37514669327956751</v>
      </c>
      <c r="Z35">
        <f t="shared" ca="1" si="14"/>
        <v>3834.788857649417</v>
      </c>
      <c r="AA35">
        <f t="shared" ca="1" si="15"/>
        <v>3853.6579539436952</v>
      </c>
      <c r="AB35">
        <f t="shared" ca="1" si="16"/>
        <v>3815.5479772085018</v>
      </c>
      <c r="AC35" s="39"/>
      <c r="AD35" s="3">
        <f t="shared" ca="1" si="17"/>
        <v>110.3</v>
      </c>
      <c r="AE35" s="3">
        <f t="shared" ca="1" si="18"/>
        <v>112.2</v>
      </c>
      <c r="AF35" s="3">
        <f t="shared" ca="1" si="19"/>
        <v>108.4</v>
      </c>
      <c r="AG35" s="1"/>
      <c r="AH35" s="3">
        <f t="shared" ca="1" si="20"/>
        <v>0.29999999999999716</v>
      </c>
      <c r="AI35" s="3">
        <f t="shared" ca="1" si="21"/>
        <v>2.2000000000000028</v>
      </c>
      <c r="AJ35" s="3">
        <f t="shared" ca="1" si="22"/>
        <v>-1.5999999999999943</v>
      </c>
      <c r="AK35" s="4">
        <f t="shared" ca="1" si="23"/>
        <v>-1.5999999999999943</v>
      </c>
      <c r="AL35" s="4">
        <f t="shared" ca="1" si="24"/>
        <v>2.2000000000000028</v>
      </c>
      <c r="AM35" s="20"/>
      <c r="AN35" s="4">
        <f t="shared" ca="1" si="25"/>
        <v>110.4</v>
      </c>
      <c r="AO35" s="4">
        <f t="shared" ca="1" si="26"/>
        <v>111.7</v>
      </c>
      <c r="AP35" s="4">
        <f t="shared" ca="1" si="27"/>
        <v>109</v>
      </c>
      <c r="AQ35" s="38"/>
      <c r="AR35" s="3">
        <f t="shared" ca="1" si="28"/>
        <v>0.40000000000000568</v>
      </c>
      <c r="AS35" s="3">
        <f t="shared" ca="1" si="0"/>
        <v>1.7000000000000028</v>
      </c>
      <c r="AT35" s="3">
        <f t="shared" ca="1" si="1"/>
        <v>-1</v>
      </c>
      <c r="AU35" s="4">
        <f t="shared" ca="1" si="29"/>
        <v>-1</v>
      </c>
      <c r="AV35" s="4">
        <f t="shared" ca="1" si="30"/>
        <v>1.7000000000000028</v>
      </c>
      <c r="AW35" s="4"/>
      <c r="AX35" s="4"/>
    </row>
    <row r="36" spans="3:50" x14ac:dyDescent="0.2">
      <c r="C36" s="5">
        <f>Accuracy!F35</f>
        <v>115</v>
      </c>
      <c r="D36" s="5">
        <f>'Resistor Network'!AB36</f>
        <v>0</v>
      </c>
      <c r="E36" s="5" t="e">
        <f>'Resistor Network'!AC36</f>
        <v>#NUM!</v>
      </c>
      <c r="F36" s="5" t="e">
        <f>'Resistor Network'!AD36</f>
        <v>#NUM!</v>
      </c>
      <c r="G36" s="8"/>
      <c r="H36" s="8"/>
      <c r="J36">
        <f t="shared" ref="J36:L40" si="32">ROUND(D36*2^$K$2,0)</f>
        <v>0</v>
      </c>
      <c r="K36" t="e">
        <f t="shared" si="32"/>
        <v>#NUM!</v>
      </c>
      <c r="L36" t="e">
        <f t="shared" si="32"/>
        <v>#NUM!</v>
      </c>
      <c r="N36" s="4">
        <f t="shared" ref="N36:P40" si="33">J36/2^15</f>
        <v>0</v>
      </c>
      <c r="O36" s="4" t="e">
        <f t="shared" si="33"/>
        <v>#NUM!</v>
      </c>
      <c r="P36" s="4" t="e">
        <f t="shared" si="33"/>
        <v>#NUM!</v>
      </c>
      <c r="Q36" s="4"/>
      <c r="R36" s="4">
        <f ca="1">N36/($R$42*N36^4+$R$43*N36^3+$R$44*N36^2+$R$45*N36+$R$46)*2^14</f>
        <v>0</v>
      </c>
      <c r="S36" s="4" t="e">
        <f t="shared" ca="1" si="31"/>
        <v>#NUM!</v>
      </c>
      <c r="T36" s="4" t="e">
        <f t="shared" ca="1" si="31"/>
        <v>#NUM!</v>
      </c>
      <c r="V36" s="4">
        <f t="shared" ref="V36:X40" ca="1" si="34">R36</f>
        <v>0</v>
      </c>
      <c r="W36" s="4" t="e">
        <f t="shared" ca="1" si="34"/>
        <v>#NUM!</v>
      </c>
      <c r="X36" s="4" t="e">
        <f t="shared" ca="1" si="34"/>
        <v>#NUM!</v>
      </c>
      <c r="Z36">
        <f t="shared" ref="Z36:AB40" ca="1" si="35">$Z$43*V36^3+$Z$44*V36^2+$Z$45*V36+$Z$46</f>
        <v>4955</v>
      </c>
      <c r="AA36" t="e">
        <f t="shared" ca="1" si="35"/>
        <v>#NUM!</v>
      </c>
      <c r="AB36" t="e">
        <f t="shared" ca="1" si="35"/>
        <v>#NUM!</v>
      </c>
      <c r="AC36" s="39"/>
      <c r="AD36" s="3">
        <f t="shared" ref="AD36:AF40" ca="1" si="36">ROUND(Z36/10-273.15,1)</f>
        <v>222.4</v>
      </c>
      <c r="AE36" s="3" t="e">
        <f t="shared" ca="1" si="36"/>
        <v>#NUM!</v>
      </c>
      <c r="AF36" s="3" t="e">
        <f t="shared" ca="1" si="36"/>
        <v>#NUM!</v>
      </c>
      <c r="AG36" s="1"/>
      <c r="AH36" s="3">
        <f t="shared" ref="AH36:AJ40" ca="1" si="37">AD36-$C36</f>
        <v>107.4</v>
      </c>
      <c r="AI36" s="3" t="e">
        <f t="shared" ca="1" si="37"/>
        <v>#NUM!</v>
      </c>
      <c r="AJ36" s="3" t="e">
        <f t="shared" ca="1" si="37"/>
        <v>#NUM!</v>
      </c>
      <c r="AK36" s="4" t="e">
        <f ca="1">MINA(AI36:AJ36)</f>
        <v>#NUM!</v>
      </c>
      <c r="AL36" s="4" t="e">
        <f ca="1">MAX(AI36:AJ36)</f>
        <v>#NUM!</v>
      </c>
      <c r="AM36" s="20"/>
      <c r="AN36" s="4">
        <f ca="1">AD36-($AD$18-$B$5)</f>
        <v>222.5</v>
      </c>
      <c r="AO36" s="4" t="e">
        <f ca="1">AE36-($AE$18-$B$5)</f>
        <v>#NUM!</v>
      </c>
      <c r="AP36" s="4" t="e">
        <f ca="1">AF36-($AF$18-$B$5)</f>
        <v>#NUM!</v>
      </c>
      <c r="AQ36" s="38"/>
      <c r="AR36" s="3">
        <f t="shared" ref="AR36:AT40" ca="1" si="38">AN36-$C36</f>
        <v>107.5</v>
      </c>
      <c r="AS36" s="3" t="e">
        <f t="shared" ca="1" si="38"/>
        <v>#NUM!</v>
      </c>
      <c r="AT36" s="3" t="e">
        <f t="shared" ca="1" si="38"/>
        <v>#NUM!</v>
      </c>
      <c r="AU36" s="4" t="e">
        <f ca="1">MINA(AS36:AT36)</f>
        <v>#NUM!</v>
      </c>
      <c r="AV36" s="4" t="e">
        <f ca="1">MAX(AS36:AT36)</f>
        <v>#NUM!</v>
      </c>
      <c r="AW36" s="4"/>
      <c r="AX36" s="4"/>
    </row>
    <row r="37" spans="3:50" x14ac:dyDescent="0.2">
      <c r="C37" s="5">
        <f>Accuracy!F36</f>
        <v>0</v>
      </c>
      <c r="D37" s="5">
        <f>'Resistor Network'!AB37</f>
        <v>0</v>
      </c>
      <c r="E37" s="5" t="e">
        <f>'Resistor Network'!AC37</f>
        <v>#NUM!</v>
      </c>
      <c r="F37" s="5" t="e">
        <f>'Resistor Network'!AD37</f>
        <v>#NUM!</v>
      </c>
      <c r="G37" s="8"/>
      <c r="H37" s="8"/>
      <c r="J37">
        <f t="shared" si="32"/>
        <v>0</v>
      </c>
      <c r="K37" t="e">
        <f t="shared" si="32"/>
        <v>#NUM!</v>
      </c>
      <c r="L37" t="e">
        <f t="shared" si="32"/>
        <v>#NUM!</v>
      </c>
      <c r="N37" s="4">
        <f t="shared" si="33"/>
        <v>0</v>
      </c>
      <c r="O37" s="4" t="e">
        <f t="shared" si="33"/>
        <v>#NUM!</v>
      </c>
      <c r="P37" s="4" t="e">
        <f t="shared" si="33"/>
        <v>#NUM!</v>
      </c>
      <c r="Q37" s="4"/>
      <c r="R37" s="4">
        <f ca="1">N37/($R$42*N37^4+$R$43*N37^3+$R$44*N37^2+$R$45*N37+$R$46)*2^14</f>
        <v>0</v>
      </c>
      <c r="S37" s="4" t="e">
        <f t="shared" ca="1" si="31"/>
        <v>#NUM!</v>
      </c>
      <c r="T37" s="4" t="e">
        <f t="shared" ca="1" si="31"/>
        <v>#NUM!</v>
      </c>
      <c r="V37" s="4">
        <f t="shared" ca="1" si="34"/>
        <v>0</v>
      </c>
      <c r="W37" s="4" t="e">
        <f t="shared" ca="1" si="34"/>
        <v>#NUM!</v>
      </c>
      <c r="X37" s="4" t="e">
        <f t="shared" ca="1" si="34"/>
        <v>#NUM!</v>
      </c>
      <c r="Z37">
        <f t="shared" ca="1" si="35"/>
        <v>4955</v>
      </c>
      <c r="AA37" t="e">
        <f t="shared" ca="1" si="35"/>
        <v>#NUM!</v>
      </c>
      <c r="AB37" t="e">
        <f t="shared" ca="1" si="35"/>
        <v>#NUM!</v>
      </c>
      <c r="AC37" s="39"/>
      <c r="AD37" s="3">
        <f t="shared" ca="1" si="36"/>
        <v>222.4</v>
      </c>
      <c r="AE37" s="3" t="e">
        <f t="shared" ca="1" si="36"/>
        <v>#NUM!</v>
      </c>
      <c r="AF37" s="3" t="e">
        <f t="shared" ca="1" si="36"/>
        <v>#NUM!</v>
      </c>
      <c r="AG37" s="1"/>
      <c r="AH37" s="3">
        <f t="shared" ca="1" si="37"/>
        <v>222.4</v>
      </c>
      <c r="AI37" s="3" t="e">
        <f t="shared" ca="1" si="37"/>
        <v>#NUM!</v>
      </c>
      <c r="AJ37" s="3" t="e">
        <f t="shared" ca="1" si="37"/>
        <v>#NUM!</v>
      </c>
      <c r="AK37" s="4" t="e">
        <f ca="1">MINA(AI37:AJ37)</f>
        <v>#NUM!</v>
      </c>
      <c r="AL37" s="4" t="e">
        <f ca="1">MAX(AI37:AJ37)</f>
        <v>#NUM!</v>
      </c>
      <c r="AM37" s="20"/>
      <c r="AN37" s="4">
        <f ca="1">AD37-($AD$18-$B$5)</f>
        <v>222.5</v>
      </c>
      <c r="AO37" s="4" t="e">
        <f ca="1">AE37-($AE$18-$B$5)</f>
        <v>#NUM!</v>
      </c>
      <c r="AP37" s="4" t="e">
        <f ca="1">AF37-($AF$18-$B$5)</f>
        <v>#NUM!</v>
      </c>
      <c r="AQ37" s="38"/>
      <c r="AR37" s="3">
        <f t="shared" ca="1" si="38"/>
        <v>222.5</v>
      </c>
      <c r="AS37" s="3" t="e">
        <f t="shared" ca="1" si="38"/>
        <v>#NUM!</v>
      </c>
      <c r="AT37" s="3" t="e">
        <f t="shared" ca="1" si="38"/>
        <v>#NUM!</v>
      </c>
      <c r="AU37" s="4" t="e">
        <f ca="1">MINA(AS37:AT37)</f>
        <v>#NUM!</v>
      </c>
      <c r="AV37" s="4" t="e">
        <f ca="1">MAX(AS37:AT37)</f>
        <v>#NUM!</v>
      </c>
      <c r="AW37" s="4"/>
      <c r="AX37" s="4"/>
    </row>
    <row r="38" spans="3:50" x14ac:dyDescent="0.2">
      <c r="C38" s="5">
        <f>Accuracy!F37</f>
        <v>0</v>
      </c>
      <c r="D38" s="5">
        <f>'Resistor Network'!AB38</f>
        <v>0</v>
      </c>
      <c r="E38" s="5" t="e">
        <f>'Resistor Network'!AC38</f>
        <v>#NUM!</v>
      </c>
      <c r="F38" s="5" t="e">
        <f>'Resistor Network'!AD38</f>
        <v>#NUM!</v>
      </c>
      <c r="G38" s="8"/>
      <c r="H38" s="8"/>
      <c r="J38">
        <f t="shared" si="32"/>
        <v>0</v>
      </c>
      <c r="K38" t="e">
        <f t="shared" si="32"/>
        <v>#NUM!</v>
      </c>
      <c r="L38" t="e">
        <f t="shared" si="32"/>
        <v>#NUM!</v>
      </c>
      <c r="N38" s="4">
        <f t="shared" si="33"/>
        <v>0</v>
      </c>
      <c r="O38" s="4" t="e">
        <f t="shared" si="33"/>
        <v>#NUM!</v>
      </c>
      <c r="P38" s="4" t="e">
        <f t="shared" si="33"/>
        <v>#NUM!</v>
      </c>
      <c r="Q38" s="4"/>
      <c r="R38" s="4">
        <f ca="1">N38/($R$42*N38^4+$R$43*N38^3+$R$44*N38^2+$R$45*N38+$R$46)*2^14</f>
        <v>0</v>
      </c>
      <c r="S38" s="4" t="e">
        <f t="shared" ca="1" si="31"/>
        <v>#NUM!</v>
      </c>
      <c r="T38" s="4" t="e">
        <f t="shared" ca="1" si="31"/>
        <v>#NUM!</v>
      </c>
      <c r="V38" s="4">
        <f t="shared" ca="1" si="34"/>
        <v>0</v>
      </c>
      <c r="W38" s="4" t="e">
        <f t="shared" ca="1" si="34"/>
        <v>#NUM!</v>
      </c>
      <c r="X38" s="4" t="e">
        <f t="shared" ca="1" si="34"/>
        <v>#NUM!</v>
      </c>
      <c r="Z38">
        <f t="shared" ca="1" si="35"/>
        <v>4955</v>
      </c>
      <c r="AA38" t="e">
        <f t="shared" ca="1" si="35"/>
        <v>#NUM!</v>
      </c>
      <c r="AB38" t="e">
        <f t="shared" ca="1" si="35"/>
        <v>#NUM!</v>
      </c>
      <c r="AC38" s="39"/>
      <c r="AD38" s="3">
        <f t="shared" ca="1" si="36"/>
        <v>222.4</v>
      </c>
      <c r="AE38" s="3" t="e">
        <f t="shared" ca="1" si="36"/>
        <v>#NUM!</v>
      </c>
      <c r="AF38" s="3" t="e">
        <f t="shared" ca="1" si="36"/>
        <v>#NUM!</v>
      </c>
      <c r="AG38" s="1"/>
      <c r="AH38" s="3">
        <f t="shared" ca="1" si="37"/>
        <v>222.4</v>
      </c>
      <c r="AI38" s="3" t="e">
        <f t="shared" ca="1" si="37"/>
        <v>#NUM!</v>
      </c>
      <c r="AJ38" s="3" t="e">
        <f t="shared" ca="1" si="37"/>
        <v>#NUM!</v>
      </c>
      <c r="AK38" s="4" t="e">
        <f ca="1">MINA(AI38:AJ38)</f>
        <v>#NUM!</v>
      </c>
      <c r="AL38" s="4" t="e">
        <f ca="1">MAX(AI38:AJ38)</f>
        <v>#NUM!</v>
      </c>
      <c r="AM38" s="20"/>
      <c r="AN38" s="4">
        <f ca="1">AD38-($AD$18-$B$5)</f>
        <v>222.5</v>
      </c>
      <c r="AO38" s="4" t="e">
        <f ca="1">AE38-($AE$18-$B$5)</f>
        <v>#NUM!</v>
      </c>
      <c r="AP38" s="4" t="e">
        <f ca="1">AF38-($AF$18-$B$5)</f>
        <v>#NUM!</v>
      </c>
      <c r="AQ38" s="38"/>
      <c r="AR38" s="3">
        <f t="shared" ca="1" si="38"/>
        <v>222.5</v>
      </c>
      <c r="AS38" s="3" t="e">
        <f t="shared" ca="1" si="38"/>
        <v>#NUM!</v>
      </c>
      <c r="AT38" s="3" t="e">
        <f t="shared" ca="1" si="38"/>
        <v>#NUM!</v>
      </c>
      <c r="AU38" s="4" t="e">
        <f ca="1">MINA(AS38:AT38)</f>
        <v>#NUM!</v>
      </c>
      <c r="AV38" s="4" t="e">
        <f ca="1">MAX(AS38:AT38)</f>
        <v>#NUM!</v>
      </c>
      <c r="AW38" s="4"/>
      <c r="AX38" s="4"/>
    </row>
    <row r="39" spans="3:50" x14ac:dyDescent="0.2">
      <c r="C39" s="5">
        <f>Accuracy!F38</f>
        <v>0</v>
      </c>
      <c r="D39" s="5">
        <f>'Resistor Network'!AB39</f>
        <v>0</v>
      </c>
      <c r="E39" s="5" t="e">
        <f>'Resistor Network'!AC39</f>
        <v>#NUM!</v>
      </c>
      <c r="F39" s="5" t="e">
        <f>'Resistor Network'!AD39</f>
        <v>#NUM!</v>
      </c>
      <c r="G39" s="8"/>
      <c r="H39" s="8"/>
      <c r="J39">
        <f t="shared" si="32"/>
        <v>0</v>
      </c>
      <c r="K39" t="e">
        <f t="shared" si="32"/>
        <v>#NUM!</v>
      </c>
      <c r="L39" t="e">
        <f t="shared" si="32"/>
        <v>#NUM!</v>
      </c>
      <c r="N39" s="4">
        <f t="shared" si="33"/>
        <v>0</v>
      </c>
      <c r="O39" s="4" t="e">
        <f t="shared" si="33"/>
        <v>#NUM!</v>
      </c>
      <c r="P39" s="4" t="e">
        <f t="shared" si="33"/>
        <v>#NUM!</v>
      </c>
      <c r="Q39" s="4"/>
      <c r="R39" s="4">
        <f ca="1">N39/($R$42*N39^4+$R$43*N39^3+$R$44*N39^2+$R$45*N39+$R$46)*2^14</f>
        <v>0</v>
      </c>
      <c r="S39" s="4" t="e">
        <f t="shared" ca="1" si="31"/>
        <v>#NUM!</v>
      </c>
      <c r="T39" s="4" t="e">
        <f t="shared" ca="1" si="31"/>
        <v>#NUM!</v>
      </c>
      <c r="V39" s="4">
        <f t="shared" ca="1" si="34"/>
        <v>0</v>
      </c>
      <c r="W39" s="4" t="e">
        <f t="shared" ca="1" si="34"/>
        <v>#NUM!</v>
      </c>
      <c r="X39" s="4" t="e">
        <f t="shared" ca="1" si="34"/>
        <v>#NUM!</v>
      </c>
      <c r="Z39">
        <f t="shared" ca="1" si="35"/>
        <v>4955</v>
      </c>
      <c r="AA39" t="e">
        <f t="shared" ca="1" si="35"/>
        <v>#NUM!</v>
      </c>
      <c r="AB39" t="e">
        <f t="shared" ca="1" si="35"/>
        <v>#NUM!</v>
      </c>
      <c r="AC39" s="39"/>
      <c r="AD39" s="3">
        <f t="shared" ca="1" si="36"/>
        <v>222.4</v>
      </c>
      <c r="AE39" s="3" t="e">
        <f t="shared" ca="1" si="36"/>
        <v>#NUM!</v>
      </c>
      <c r="AF39" s="3" t="e">
        <f t="shared" ca="1" si="36"/>
        <v>#NUM!</v>
      </c>
      <c r="AG39" s="1"/>
      <c r="AH39" s="3">
        <f t="shared" ca="1" si="37"/>
        <v>222.4</v>
      </c>
      <c r="AI39" s="3" t="e">
        <f t="shared" ca="1" si="37"/>
        <v>#NUM!</v>
      </c>
      <c r="AJ39" s="3" t="e">
        <f t="shared" ca="1" si="37"/>
        <v>#NUM!</v>
      </c>
      <c r="AK39" s="4" t="e">
        <f ca="1">MINA(AI39:AJ39)</f>
        <v>#NUM!</v>
      </c>
      <c r="AL39" s="4" t="e">
        <f ca="1">MAX(AI39:AJ39)</f>
        <v>#NUM!</v>
      </c>
      <c r="AM39" s="20"/>
      <c r="AN39" s="4">
        <f ca="1">AD39-($AD$18-$B$5)</f>
        <v>222.5</v>
      </c>
      <c r="AO39" s="4" t="e">
        <f ca="1">AE39-($AE$18-$B$5)</f>
        <v>#NUM!</v>
      </c>
      <c r="AP39" s="4" t="e">
        <f ca="1">AF39-($AF$18-$B$5)</f>
        <v>#NUM!</v>
      </c>
      <c r="AQ39" s="38"/>
      <c r="AR39" s="3">
        <f t="shared" ca="1" si="38"/>
        <v>222.5</v>
      </c>
      <c r="AS39" s="3" t="e">
        <f t="shared" ca="1" si="38"/>
        <v>#NUM!</v>
      </c>
      <c r="AT39" s="3" t="e">
        <f t="shared" ca="1" si="38"/>
        <v>#NUM!</v>
      </c>
      <c r="AU39" s="4" t="e">
        <f ca="1">MINA(AS39:AT39)</f>
        <v>#NUM!</v>
      </c>
      <c r="AV39" s="4" t="e">
        <f ca="1">MAX(AS39:AT39)</f>
        <v>#NUM!</v>
      </c>
      <c r="AW39" s="4"/>
      <c r="AX39" s="4"/>
    </row>
    <row r="40" spans="3:50" x14ac:dyDescent="0.2">
      <c r="C40" s="5">
        <f>Accuracy!F39</f>
        <v>0</v>
      </c>
      <c r="D40" s="5">
        <f>'Resistor Network'!AB40</f>
        <v>0</v>
      </c>
      <c r="E40" s="5" t="e">
        <f>'Resistor Network'!AC40</f>
        <v>#NUM!</v>
      </c>
      <c r="F40" s="5" t="e">
        <f>'Resistor Network'!AD40</f>
        <v>#NUM!</v>
      </c>
      <c r="G40" s="8"/>
      <c r="H40" s="8"/>
      <c r="J40">
        <f t="shared" si="32"/>
        <v>0</v>
      </c>
      <c r="K40" t="e">
        <f t="shared" si="32"/>
        <v>#NUM!</v>
      </c>
      <c r="L40" t="e">
        <f t="shared" si="32"/>
        <v>#NUM!</v>
      </c>
      <c r="N40" s="4">
        <f t="shared" si="33"/>
        <v>0</v>
      </c>
      <c r="O40" s="4" t="e">
        <f t="shared" si="33"/>
        <v>#NUM!</v>
      </c>
      <c r="P40" s="4" t="e">
        <f t="shared" si="33"/>
        <v>#NUM!</v>
      </c>
      <c r="Q40" s="4"/>
      <c r="R40" s="4">
        <f ca="1">N40/($R$42*N40^4+$R$43*N40^3+$R$44*N40^2+$R$45*N40+$R$46)*2^14</f>
        <v>0</v>
      </c>
      <c r="S40" s="4" t="e">
        <f t="shared" ca="1" si="31"/>
        <v>#NUM!</v>
      </c>
      <c r="T40" s="4" t="e">
        <f t="shared" ca="1" si="31"/>
        <v>#NUM!</v>
      </c>
      <c r="V40" s="4">
        <f t="shared" ca="1" si="34"/>
        <v>0</v>
      </c>
      <c r="W40" s="4" t="e">
        <f t="shared" ca="1" si="34"/>
        <v>#NUM!</v>
      </c>
      <c r="X40" s="4" t="e">
        <f t="shared" ca="1" si="34"/>
        <v>#NUM!</v>
      </c>
      <c r="Z40">
        <f t="shared" ca="1" si="35"/>
        <v>4955</v>
      </c>
      <c r="AA40" t="e">
        <f t="shared" ca="1" si="35"/>
        <v>#NUM!</v>
      </c>
      <c r="AB40" t="e">
        <f t="shared" ca="1" si="35"/>
        <v>#NUM!</v>
      </c>
      <c r="AC40" s="39"/>
      <c r="AD40" s="3">
        <f t="shared" ca="1" si="36"/>
        <v>222.4</v>
      </c>
      <c r="AE40" s="3" t="e">
        <f t="shared" ca="1" si="36"/>
        <v>#NUM!</v>
      </c>
      <c r="AF40" s="3" t="e">
        <f t="shared" ca="1" si="36"/>
        <v>#NUM!</v>
      </c>
      <c r="AG40" s="1"/>
      <c r="AH40" s="3">
        <f t="shared" ca="1" si="37"/>
        <v>222.4</v>
      </c>
      <c r="AI40" s="3" t="e">
        <f t="shared" ca="1" si="37"/>
        <v>#NUM!</v>
      </c>
      <c r="AJ40" s="3" t="e">
        <f t="shared" ca="1" si="37"/>
        <v>#NUM!</v>
      </c>
      <c r="AK40" s="4" t="e">
        <f ca="1">MINA(AI40:AJ40)</f>
        <v>#NUM!</v>
      </c>
      <c r="AL40" s="4" t="e">
        <f ca="1">MAX(AI40:AJ40)</f>
        <v>#NUM!</v>
      </c>
      <c r="AM40" s="20"/>
      <c r="AN40" s="4">
        <f ca="1">AD40-($AD$18-$B$5)</f>
        <v>222.5</v>
      </c>
      <c r="AO40" s="4" t="e">
        <f ca="1">AE40-($AE$18-$B$5)</f>
        <v>#NUM!</v>
      </c>
      <c r="AP40" s="4" t="e">
        <f ca="1">AF40-($AF$18-$B$5)</f>
        <v>#NUM!</v>
      </c>
      <c r="AQ40" s="38"/>
      <c r="AR40" s="3">
        <f t="shared" ca="1" si="38"/>
        <v>222.5</v>
      </c>
      <c r="AS40" s="3" t="e">
        <f t="shared" ca="1" si="38"/>
        <v>#NUM!</v>
      </c>
      <c r="AT40" s="3" t="e">
        <f t="shared" ca="1" si="38"/>
        <v>#NUM!</v>
      </c>
      <c r="AU40" s="4" t="e">
        <f ca="1">MINA(AS40:AT40)</f>
        <v>#NUM!</v>
      </c>
      <c r="AV40" s="4" t="e">
        <f ca="1">MAX(AS40:AT40)</f>
        <v>#NUM!</v>
      </c>
      <c r="AW40" s="4"/>
      <c r="AX40" s="4"/>
    </row>
    <row r="41" spans="3:50" x14ac:dyDescent="0.2">
      <c r="G41" s="20"/>
      <c r="H41" s="20"/>
      <c r="AA41" s="8"/>
      <c r="AB41" s="8"/>
      <c r="AC41" s="8"/>
      <c r="AM41" s="20"/>
      <c r="AN41" s="20"/>
      <c r="AO41" s="20"/>
      <c r="AP41" s="20"/>
      <c r="AQ41" s="20"/>
    </row>
    <row r="42" spans="3:50" x14ac:dyDescent="0.2">
      <c r="Q42" s="5" t="s">
        <v>86</v>
      </c>
      <c r="R42" s="5">
        <f ca="1">ROUND('best fit'!T43,0)</f>
        <v>-16011</v>
      </c>
      <c r="AA42" s="8"/>
      <c r="AB42" s="40"/>
      <c r="AC42" s="8"/>
      <c r="AM42" s="20"/>
      <c r="AN42" s="38"/>
      <c r="AO42" s="20"/>
      <c r="AP42" s="20"/>
      <c r="AQ42" s="20"/>
    </row>
    <row r="43" spans="3:50" x14ac:dyDescent="0.2">
      <c r="Q43" s="5" t="s">
        <v>53</v>
      </c>
      <c r="R43" s="5">
        <f ca="1">ROUND('best fit'!U43,0)</f>
        <v>27432</v>
      </c>
      <c r="Y43" s="5" t="s">
        <v>92</v>
      </c>
      <c r="Z43" s="5">
        <f ca="1">ROUND('best fit'!AD43,0)</f>
        <v>42</v>
      </c>
      <c r="AC43" s="8"/>
      <c r="AM43" s="20"/>
      <c r="AN43" s="20"/>
      <c r="AO43" s="20"/>
      <c r="AP43" s="20"/>
      <c r="AQ43" s="20"/>
    </row>
    <row r="44" spans="3:50" x14ac:dyDescent="0.2">
      <c r="Q44" s="5" t="s">
        <v>52</v>
      </c>
      <c r="R44" s="5">
        <f ca="1">ROUND('best fit'!V43,0)</f>
        <v>-23370</v>
      </c>
      <c r="Y44" s="5" t="s">
        <v>93</v>
      </c>
      <c r="Z44" s="5">
        <f ca="1">ROUND('best fit'!AE43,0)</f>
        <v>-78</v>
      </c>
      <c r="AC44" s="8"/>
      <c r="AM44" s="20"/>
      <c r="AN44" s="20"/>
      <c r="AO44" s="20"/>
      <c r="AP44" s="20"/>
      <c r="AQ44" s="20"/>
    </row>
    <row r="45" spans="3:50" x14ac:dyDescent="0.2">
      <c r="Q45" s="5" t="s">
        <v>51</v>
      </c>
      <c r="R45" s="5">
        <f ca="1">ROUND('best fit'!W43,0)</f>
        <v>29022</v>
      </c>
      <c r="Y45" s="5" t="s">
        <v>94</v>
      </c>
      <c r="Z45" s="5">
        <f ca="1">ROUND('best fit'!AF43,0)</f>
        <v>-3014</v>
      </c>
      <c r="AC45" s="8"/>
      <c r="AM45" s="20"/>
      <c r="AN45" s="20"/>
      <c r="AO45" s="20"/>
      <c r="AP45" s="20"/>
      <c r="AQ45" s="20"/>
    </row>
    <row r="46" spans="3:50" x14ac:dyDescent="0.2">
      <c r="Q46" s="5" t="s">
        <v>98</v>
      </c>
      <c r="R46" s="5">
        <f ca="1">ROUND('best fit'!X43,0)</f>
        <v>658</v>
      </c>
      <c r="Y46" s="5" t="s">
        <v>111</v>
      </c>
      <c r="Z46" s="5">
        <f ca="1">ROUND('best fit'!AG43,0)</f>
        <v>4955</v>
      </c>
      <c r="AC46" s="8"/>
      <c r="AM46" s="20"/>
      <c r="AN46" s="20"/>
      <c r="AO46" s="20"/>
      <c r="AP46" s="20"/>
      <c r="AQ46" s="20"/>
    </row>
    <row r="47" spans="3:50" x14ac:dyDescent="0.2">
      <c r="Y47" s="8"/>
      <c r="Z47" s="8"/>
      <c r="AC47" s="8"/>
      <c r="AM47" s="20"/>
      <c r="AN47" s="20"/>
      <c r="AO47" s="20"/>
      <c r="AP47" s="20"/>
      <c r="AQ47" s="20"/>
    </row>
  </sheetData>
  <phoneticPr fontId="1" type="noConversion"/>
  <conditionalFormatting sqref="Y42 Z5:AB39 Y6:Y39 Y40:AB40">
    <cfRule type="cellIs" dxfId="0" priority="1" stopIfTrue="1" operator="notBetween">
      <formula>-32768</formula>
      <formula>32768</formula>
    </cfRule>
  </conditionalFormatting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AI43"/>
  <sheetViews>
    <sheetView zoomScale="70" workbookViewId="0">
      <selection activeCell="G5" sqref="G5"/>
    </sheetView>
  </sheetViews>
  <sheetFormatPr defaultRowHeight="12.75" x14ac:dyDescent="0.2"/>
  <cols>
    <col min="3" max="3" width="12.42578125" bestFit="1" customWidth="1"/>
    <col min="4" max="4" width="13.28515625" bestFit="1" customWidth="1"/>
    <col min="5" max="5" width="12.5703125" bestFit="1" customWidth="1"/>
    <col min="6" max="6" width="12.5703125" customWidth="1"/>
    <col min="7" max="7" width="9.42578125" bestFit="1" customWidth="1"/>
    <col min="8" max="8" width="12.42578125" bestFit="1" customWidth="1"/>
    <col min="9" max="13" width="12.42578125" customWidth="1"/>
    <col min="14" max="14" width="9.28515625" customWidth="1"/>
    <col min="15" max="15" width="14.85546875" customWidth="1"/>
    <col min="17" max="17" width="12.5703125" bestFit="1" customWidth="1"/>
    <col min="18" max="18" width="12.5703125" customWidth="1"/>
    <col min="19" max="19" width="12.5703125" bestFit="1" customWidth="1"/>
    <col min="20" max="31" width="12.5703125" customWidth="1"/>
    <col min="32" max="32" width="11" bestFit="1" customWidth="1"/>
    <col min="37" max="37" width="13.140625" bestFit="1" customWidth="1"/>
    <col min="42" max="42" width="13.140625" bestFit="1" customWidth="1"/>
    <col min="43" max="43" width="12.5703125" bestFit="1" customWidth="1"/>
    <col min="44" max="45" width="9.28515625" bestFit="1" customWidth="1"/>
  </cols>
  <sheetData>
    <row r="3" spans="1:35" x14ac:dyDescent="0.2">
      <c r="P3" t="s">
        <v>113</v>
      </c>
      <c r="V3" t="s">
        <v>114</v>
      </c>
      <c r="AD3" t="s">
        <v>116</v>
      </c>
      <c r="AE3" t="s">
        <v>115</v>
      </c>
    </row>
    <row r="4" spans="1:35" x14ac:dyDescent="0.2">
      <c r="C4" s="5" t="str">
        <f>Digital!C4</f>
        <v>Temperature</v>
      </c>
      <c r="D4" s="5" t="str">
        <f>Accuracy!G3</f>
        <v>Res (Ω)</v>
      </c>
      <c r="E4" s="5" t="str">
        <f>Thermistor!K4</f>
        <v>BETA</v>
      </c>
      <c r="F4" s="5" t="s">
        <v>38</v>
      </c>
      <c r="G4" s="5" t="s">
        <v>71</v>
      </c>
      <c r="H4" s="5" t="s">
        <v>73</v>
      </c>
      <c r="I4" s="5" t="s">
        <v>112</v>
      </c>
      <c r="J4" s="8" t="s">
        <v>121</v>
      </c>
      <c r="K4" s="8" t="s">
        <v>117</v>
      </c>
      <c r="L4" s="8" t="s">
        <v>118</v>
      </c>
      <c r="N4" t="s">
        <v>90</v>
      </c>
      <c r="O4" t="s">
        <v>87</v>
      </c>
      <c r="P4" t="s">
        <v>38</v>
      </c>
      <c r="Q4" t="s">
        <v>91</v>
      </c>
      <c r="S4" t="s">
        <v>99</v>
      </c>
      <c r="T4" t="s">
        <v>96</v>
      </c>
      <c r="U4" t="s">
        <v>97</v>
      </c>
      <c r="V4" t="s">
        <v>100</v>
      </c>
      <c r="W4" t="s">
        <v>101</v>
      </c>
      <c r="X4" t="s">
        <v>12</v>
      </c>
      <c r="Y4" t="s">
        <v>102</v>
      </c>
      <c r="AA4" s="8" t="s">
        <v>120</v>
      </c>
      <c r="AB4" s="8" t="s">
        <v>119</v>
      </c>
      <c r="AI4" t="s">
        <v>103</v>
      </c>
    </row>
    <row r="5" spans="1:35" x14ac:dyDescent="0.2">
      <c r="A5" s="4">
        <v>0.86</v>
      </c>
      <c r="B5">
        <v>1</v>
      </c>
      <c r="C5" s="5">
        <f>Digital!C5</f>
        <v>-40</v>
      </c>
      <c r="D5" s="5">
        <f>Accuracy!G4</f>
        <v>188500</v>
      </c>
      <c r="E5" s="5">
        <f>Thermistor!K5</f>
        <v>3140.4276459761468</v>
      </c>
      <c r="F5" s="42">
        <f>Digital!D5</f>
        <v>0.9128329297820823</v>
      </c>
      <c r="G5" s="5">
        <f>Accuracy!D12</f>
        <v>18000</v>
      </c>
      <c r="H5" s="5">
        <f>'Resistor Network'!S5</f>
        <v>0</v>
      </c>
      <c r="I5" s="5">
        <f>Accuracy!D3</f>
        <v>-40</v>
      </c>
      <c r="J5" t="str">
        <f>ADDRESS(MATCH($I$5,$C$5:$C$40,0)+4,3)</f>
        <v>$C$5</v>
      </c>
      <c r="K5" t="str">
        <f>ADDRESS(MATCH(I5,C5:C40,0)+4,16)</f>
        <v>$P$5</v>
      </c>
      <c r="L5" t="str">
        <f>ADDRESS(MATCH($I$5,$C5:$C40,0)+4,22)</f>
        <v>$V$5</v>
      </c>
      <c r="N5">
        <f>C5-0.1</f>
        <v>-40.1</v>
      </c>
      <c r="O5" s="37">
        <f>$D$18*EXP(E5*($C$18-N5)/(($C$18+273.15)*(N5+273.15)))</f>
        <v>189592.62533600087</v>
      </c>
      <c r="P5" s="4">
        <f>(O5+$H$5)/(O5+$H$5+$G$5)</f>
        <v>0.91329171751228666</v>
      </c>
      <c r="Q5" s="37">
        <f>ROUND(-LN((P5-F5))/LN(2)+0.5,0)</f>
        <v>12</v>
      </c>
      <c r="R5" s="37"/>
      <c r="S5" s="4">
        <f>($A$35-$A$5)/($A$42-1)*(B5-1)+$A$5</f>
        <v>0.86</v>
      </c>
      <c r="T5" s="37">
        <f>ROUND(S5*2^15,0)</f>
        <v>28180</v>
      </c>
      <c r="U5" s="4">
        <f t="shared" ref="U5:U40" si="0">P5/S5</f>
        <v>1.0619671133863799</v>
      </c>
      <c r="V5" s="4">
        <f>U5*2^14</f>
        <v>17399.269185722449</v>
      </c>
      <c r="W5" s="3">
        <f ca="1">$T$43*P5^4+$U$43*P5^3+$V$43*P5^2+$W$43*P5+$X$43</f>
        <v>17428.864193730635</v>
      </c>
      <c r="X5" s="4">
        <f t="shared" ref="X5:X35" ca="1" si="1">P5/W5*2^14</f>
        <v>0.85853968069266406</v>
      </c>
      <c r="Y5" s="3">
        <f ca="1">W5-V5</f>
        <v>29.595008008185687</v>
      </c>
      <c r="Z5" s="37"/>
      <c r="AA5" t="str">
        <f>ADDRESS(MATCH($I$5,$C5:$C40,0)+4,30)</f>
        <v>$AD$5</v>
      </c>
      <c r="AB5" t="str">
        <f>ADDRESS(MATCH($I$5,$C5:$C40,0)+4,31)</f>
        <v>$AE$5</v>
      </c>
      <c r="AD5" s="4">
        <f ca="1">X5</f>
        <v>0.85853968069266406</v>
      </c>
      <c r="AE5" s="37">
        <f>C5*10+2731.5</f>
        <v>2331.5</v>
      </c>
      <c r="AF5">
        <v>110</v>
      </c>
      <c r="AG5">
        <f ca="1">$AD$43*AD5^3+$AE$43*AD5^2+$AF$43*AD5+$AG$43</f>
        <v>2336.1024616394429</v>
      </c>
      <c r="AI5" s="4">
        <f ca="1">(AG5-AE5)/10</f>
        <v>0.46024616394429357</v>
      </c>
    </row>
    <row r="6" spans="1:35" x14ac:dyDescent="0.2">
      <c r="A6" s="4"/>
      <c r="B6">
        <v>2</v>
      </c>
      <c r="C6" s="5">
        <f>Digital!C6</f>
        <v>-35</v>
      </c>
      <c r="D6" s="5">
        <f>Accuracy!G5</f>
        <v>144100</v>
      </c>
      <c r="E6" s="5">
        <f>Thermistor!K6</f>
        <v>3157.2381666278307</v>
      </c>
      <c r="F6" s="42">
        <f>Digital!D6</f>
        <v>0.8889574336829118</v>
      </c>
      <c r="I6" s="5">
        <f>Accuracy!D4</f>
        <v>110</v>
      </c>
      <c r="J6" t="str">
        <f>ADDRESS(MATCH($I$6,$C$5:$C$40,0)+4,3)</f>
        <v>$C$35</v>
      </c>
      <c r="K6" t="str">
        <f>ADDRESS(MATCH(I6,C5:C40,0)+4,16)</f>
        <v>$P$35</v>
      </c>
      <c r="L6" t="str">
        <f>ADDRESS(MATCH($I$6,$C6:$C41,0)+5,22)</f>
        <v>$V$35</v>
      </c>
      <c r="N6">
        <f t="shared" ref="N6:N40" si="2">C6-0.1</f>
        <v>-35.1</v>
      </c>
      <c r="O6" s="37">
        <f t="shared" ref="O6:O40" si="3">$D$18*EXP(E6*($C$18-N6)/(($C$18+273.15)*(N6+273.15)))</f>
        <v>144904.75269395014</v>
      </c>
      <c r="P6" s="4">
        <f t="shared" ref="P6:P34" si="4">(O6+$H$5)/(O6+$H$5+$G$5)</f>
        <v>0.88950598615243182</v>
      </c>
      <c r="Q6" s="37">
        <f t="shared" ref="Q6:Q40" si="5">ROUND(-LN((P6-F6))/LN(2)+0.5,0)</f>
        <v>11</v>
      </c>
      <c r="R6" s="37"/>
      <c r="S6" s="4">
        <f t="shared" ref="S6:S40" si="6">($A$35-$A$5)/($A$42-1)*(B6-1)+$A$5</f>
        <v>0.84366666666666668</v>
      </c>
      <c r="T6" s="37">
        <f t="shared" ref="T6:T40" si="7">ROUND(S6*2^15,0)</f>
        <v>27645</v>
      </c>
      <c r="U6" s="4">
        <f t="shared" si="0"/>
        <v>1.0543334486200298</v>
      </c>
      <c r="V6" s="4">
        <f t="shared" ref="V6:V40" si="8">U6*2^14</f>
        <v>17274.199222190568</v>
      </c>
      <c r="W6" s="3">
        <f t="shared" ref="W6:W35" ca="1" si="9">$T$43*P6^4+$U$43*P6^3+$V$43*P6^2+$W$43*P6+$X$43</f>
        <v>17265.958390657965</v>
      </c>
      <c r="X6" s="4">
        <f t="shared" ca="1" si="1"/>
        <v>0.84406933848553511</v>
      </c>
      <c r="Y6" s="3">
        <f t="shared" ref="Y6:Y35" ca="1" si="10">W6-V6</f>
        <v>-8.2408315326028969</v>
      </c>
      <c r="Z6" s="37"/>
      <c r="AA6" t="str">
        <f>ADDRESS(MATCH($I$6,$C6:$C41,0)+5,30)</f>
        <v>$AD$35</v>
      </c>
      <c r="AB6" t="str">
        <f>ADDRESS(MATCH($I$6,$C6:$C41,0)+5,31)</f>
        <v>$AE$35</v>
      </c>
      <c r="AD6" s="4">
        <f t="shared" ref="AD6:AD35" ca="1" si="11">X6</f>
        <v>0.84406933848553511</v>
      </c>
      <c r="AE6" s="37">
        <f t="shared" ref="AE6:AE35" si="12">C6*10+2731.5</f>
        <v>2381.5</v>
      </c>
      <c r="AF6">
        <v>105</v>
      </c>
      <c r="AG6">
        <f t="shared" ref="AG6:AG34" ca="1" si="13">$AD$43*AD6^3+$AE$43*AD6^2+$AF$43*AD6+$AG$43</f>
        <v>2380.3311979753285</v>
      </c>
      <c r="AI6" s="4">
        <f t="shared" ref="AI6:AI35" ca="1" si="14">(AG6-AE6)/10</f>
        <v>-0.11688020246715496</v>
      </c>
    </row>
    <row r="7" spans="1:35" x14ac:dyDescent="0.2">
      <c r="B7">
        <v>3</v>
      </c>
      <c r="C7" s="5">
        <f>Digital!C7</f>
        <v>-30</v>
      </c>
      <c r="D7" s="5">
        <f>Accuracy!G6</f>
        <v>111300</v>
      </c>
      <c r="E7" s="5">
        <f>Thermistor!K7</f>
        <v>3176.1376259296803</v>
      </c>
      <c r="F7" s="42">
        <f>Digital!D7</f>
        <v>0.86078886310904867</v>
      </c>
      <c r="N7">
        <f t="shared" si="2"/>
        <v>-30.1</v>
      </c>
      <c r="O7" s="37">
        <f t="shared" si="3"/>
        <v>111899.78021418417</v>
      </c>
      <c r="P7" s="4">
        <f t="shared" si="4"/>
        <v>0.86143163621739116</v>
      </c>
      <c r="Q7" s="37">
        <f t="shared" si="5"/>
        <v>11</v>
      </c>
      <c r="R7" s="37"/>
      <c r="S7" s="4">
        <f t="shared" si="6"/>
        <v>0.82733333333333337</v>
      </c>
      <c r="T7" s="37">
        <f t="shared" si="7"/>
        <v>27110</v>
      </c>
      <c r="U7" s="4">
        <f t="shared" si="0"/>
        <v>1.0412147093683213</v>
      </c>
      <c r="V7" s="4">
        <f t="shared" si="8"/>
        <v>17059.261798290576</v>
      </c>
      <c r="W7" s="3">
        <f t="shared" ca="1" si="9"/>
        <v>17035.739037923697</v>
      </c>
      <c r="X7" s="4">
        <f t="shared" ca="1" si="1"/>
        <v>0.82847570606516541</v>
      </c>
      <c r="Y7" s="3">
        <f t="shared" ca="1" si="10"/>
        <v>-23.522760366879083</v>
      </c>
      <c r="Z7" s="37"/>
      <c r="AA7" s="37"/>
      <c r="AB7" s="3"/>
      <c r="AD7" s="4">
        <f t="shared" ca="1" si="11"/>
        <v>0.82847570606516541</v>
      </c>
      <c r="AE7" s="37">
        <f t="shared" si="12"/>
        <v>2431.5</v>
      </c>
      <c r="AF7">
        <v>100</v>
      </c>
      <c r="AG7">
        <f t="shared" ca="1" si="13"/>
        <v>2428.0063096926315</v>
      </c>
      <c r="AI7" s="4">
        <f t="shared" ca="1" si="14"/>
        <v>-0.34936903073685244</v>
      </c>
    </row>
    <row r="8" spans="1:35" x14ac:dyDescent="0.2">
      <c r="B8">
        <v>4</v>
      </c>
      <c r="C8" s="5">
        <f>Digital!C8</f>
        <v>-25</v>
      </c>
      <c r="D8" s="5">
        <f>Accuracy!G7</f>
        <v>86430</v>
      </c>
      <c r="E8" s="5">
        <f>Thermistor!K8</f>
        <v>3191.3823893697013</v>
      </c>
      <c r="F8" s="42">
        <f>Digital!D8</f>
        <v>0.82763573685722491</v>
      </c>
      <c r="N8">
        <f t="shared" si="2"/>
        <v>-25.1</v>
      </c>
      <c r="O8" s="37">
        <f t="shared" si="3"/>
        <v>86879.279063069625</v>
      </c>
      <c r="P8" s="4">
        <f t="shared" si="4"/>
        <v>0.82837410629819819</v>
      </c>
      <c r="Q8" s="37">
        <f t="shared" si="5"/>
        <v>11</v>
      </c>
      <c r="R8" s="37"/>
      <c r="S8" s="4">
        <f t="shared" si="6"/>
        <v>0.81099999999999994</v>
      </c>
      <c r="T8" s="37">
        <f t="shared" si="7"/>
        <v>26575</v>
      </c>
      <c r="U8" s="4">
        <f t="shared" si="0"/>
        <v>1.0214230657191101</v>
      </c>
      <c r="V8" s="4">
        <f t="shared" si="8"/>
        <v>16734.9955087419</v>
      </c>
      <c r="W8" s="3">
        <f t="shared" ca="1" si="9"/>
        <v>16716.881357115315</v>
      </c>
      <c r="X8" s="4">
        <f t="shared" ca="1" si="1"/>
        <v>0.81187878693730786</v>
      </c>
      <c r="Y8" s="3">
        <f t="shared" ca="1" si="10"/>
        <v>-18.114151626585226</v>
      </c>
      <c r="Z8" s="37"/>
      <c r="AA8" s="37"/>
      <c r="AB8" s="3"/>
      <c r="AD8" s="4">
        <f t="shared" ca="1" si="11"/>
        <v>0.81187878693730786</v>
      </c>
      <c r="AE8" s="37">
        <f t="shared" si="12"/>
        <v>2481.5</v>
      </c>
      <c r="AF8">
        <v>95</v>
      </c>
      <c r="AG8">
        <f t="shared" ca="1" si="13"/>
        <v>2478.7626182368294</v>
      </c>
      <c r="AI8" s="4">
        <f t="shared" ca="1" si="14"/>
        <v>-0.27373817631705605</v>
      </c>
    </row>
    <row r="9" spans="1:35" x14ac:dyDescent="0.2">
      <c r="B9">
        <v>5</v>
      </c>
      <c r="C9" s="5">
        <f>Digital!C9</f>
        <v>-20</v>
      </c>
      <c r="D9" s="5">
        <f>Accuracy!G8</f>
        <v>67770</v>
      </c>
      <c r="E9" s="5">
        <f>Thermistor!K9</f>
        <v>3209.4937499548068</v>
      </c>
      <c r="F9" s="42">
        <f>Digital!D9</f>
        <v>0.79013641133263379</v>
      </c>
      <c r="N9">
        <f t="shared" si="2"/>
        <v>-20.100000000000001</v>
      </c>
      <c r="O9" s="37">
        <f t="shared" si="3"/>
        <v>68110.391059681453</v>
      </c>
      <c r="P9" s="4">
        <f t="shared" si="4"/>
        <v>0.79096599401662748</v>
      </c>
      <c r="Q9" s="37">
        <f t="shared" si="5"/>
        <v>11</v>
      </c>
      <c r="R9" s="37"/>
      <c r="S9" s="4">
        <f t="shared" si="6"/>
        <v>0.79466666666666663</v>
      </c>
      <c r="T9" s="37">
        <f t="shared" si="7"/>
        <v>26040</v>
      </c>
      <c r="U9" s="4">
        <f t="shared" si="0"/>
        <v>0.99534311327595748</v>
      </c>
      <c r="V9" s="4">
        <f t="shared" si="8"/>
        <v>16307.701567913287</v>
      </c>
      <c r="W9" s="3">
        <f t="shared" ca="1" si="9"/>
        <v>16300.634590454662</v>
      </c>
      <c r="X9" s="4">
        <f t="shared" ca="1" si="1"/>
        <v>0.7950111864698246</v>
      </c>
      <c r="Y9" s="3">
        <f t="shared" ca="1" si="10"/>
        <v>-7.0669774586258427</v>
      </c>
      <c r="Z9" s="37"/>
      <c r="AA9" s="37"/>
      <c r="AB9" s="3"/>
      <c r="AD9" s="4">
        <f t="shared" ca="1" si="11"/>
        <v>0.7950111864698246</v>
      </c>
      <c r="AE9" s="37">
        <f t="shared" si="12"/>
        <v>2531.5</v>
      </c>
      <c r="AF9">
        <v>90</v>
      </c>
      <c r="AG9">
        <f t="shared" ca="1" si="13"/>
        <v>2530.3601420600976</v>
      </c>
      <c r="AI9" s="4">
        <f t="shared" ca="1" si="14"/>
        <v>-0.11398579399024129</v>
      </c>
    </row>
    <row r="10" spans="1:35" x14ac:dyDescent="0.2">
      <c r="B10">
        <v>6</v>
      </c>
      <c r="C10" s="5">
        <f>Digital!C10</f>
        <v>-15</v>
      </c>
      <c r="D10" s="5">
        <f>Accuracy!G9</f>
        <v>53410</v>
      </c>
      <c r="E10" s="5">
        <f>Thermistor!K10</f>
        <v>3223.8053160185946</v>
      </c>
      <c r="F10" s="42">
        <f>Digital!D10</f>
        <v>0.74793446296036969</v>
      </c>
      <c r="N10">
        <f t="shared" si="2"/>
        <v>-15.1</v>
      </c>
      <c r="O10" s="37">
        <f t="shared" si="3"/>
        <v>53669.099563635842</v>
      </c>
      <c r="P10" s="4">
        <f t="shared" si="4"/>
        <v>0.74884573533650178</v>
      </c>
      <c r="Q10" s="37">
        <f t="shared" si="5"/>
        <v>11</v>
      </c>
      <c r="R10" s="37"/>
      <c r="S10" s="4">
        <f t="shared" si="6"/>
        <v>0.77833333333333332</v>
      </c>
      <c r="T10" s="37">
        <f t="shared" si="7"/>
        <v>25504</v>
      </c>
      <c r="U10" s="4">
        <f t="shared" si="0"/>
        <v>0.9621144351218438</v>
      </c>
      <c r="V10" s="4">
        <f t="shared" si="8"/>
        <v>15763.282905036289</v>
      </c>
      <c r="W10" s="3">
        <f t="shared" ca="1" si="9"/>
        <v>15770.677206091656</v>
      </c>
      <c r="X10" s="4">
        <f t="shared" ca="1" si="1"/>
        <v>0.77796840093931596</v>
      </c>
      <c r="Y10" s="3">
        <f t="shared" ca="1" si="10"/>
        <v>7.3943010553666682</v>
      </c>
      <c r="Z10" s="37"/>
      <c r="AA10" s="37"/>
      <c r="AB10" s="3"/>
      <c r="AD10" s="4">
        <f t="shared" ca="1" si="11"/>
        <v>0.77796840093931596</v>
      </c>
      <c r="AE10" s="37">
        <f t="shared" si="12"/>
        <v>2581.5</v>
      </c>
      <c r="AF10">
        <v>85</v>
      </c>
      <c r="AG10">
        <f t="shared" ca="1" si="13"/>
        <v>2582.5060737765034</v>
      </c>
      <c r="AI10" s="4">
        <f t="shared" ca="1" si="14"/>
        <v>0.10060737765033992</v>
      </c>
    </row>
    <row r="11" spans="1:35" x14ac:dyDescent="0.2">
      <c r="B11">
        <v>7</v>
      </c>
      <c r="C11" s="5">
        <f>Digital!C11</f>
        <v>-10</v>
      </c>
      <c r="D11" s="5">
        <f>Accuracy!G10</f>
        <v>42470</v>
      </c>
      <c r="E11" s="5">
        <f>Thermistor!K11</f>
        <v>3241.92049604157</v>
      </c>
      <c r="F11" s="42">
        <f>Digital!D11</f>
        <v>0.70233173474450139</v>
      </c>
      <c r="N11">
        <f t="shared" si="2"/>
        <v>-10.1</v>
      </c>
      <c r="O11" s="37">
        <f t="shared" si="3"/>
        <v>42669.370236292605</v>
      </c>
      <c r="P11" s="4">
        <f t="shared" si="4"/>
        <v>0.70330992509244239</v>
      </c>
      <c r="Q11" s="37">
        <f t="shared" si="5"/>
        <v>10</v>
      </c>
      <c r="R11" s="37"/>
      <c r="S11" s="4">
        <f t="shared" si="6"/>
        <v>0.76200000000000001</v>
      </c>
      <c r="T11" s="37">
        <f t="shared" si="7"/>
        <v>24969</v>
      </c>
      <c r="U11" s="4">
        <f t="shared" si="0"/>
        <v>0.92297890432079055</v>
      </c>
      <c r="V11" s="4">
        <f t="shared" si="8"/>
        <v>15122.086368391832</v>
      </c>
      <c r="W11" s="3">
        <f t="shared" ca="1" si="9"/>
        <v>15135.58327167276</v>
      </c>
      <c r="X11" s="4">
        <f t="shared" ca="1" si="1"/>
        <v>0.76132049924238365</v>
      </c>
      <c r="Y11" s="3">
        <f t="shared" ca="1" si="10"/>
        <v>13.496903280927654</v>
      </c>
      <c r="Z11" s="37"/>
      <c r="AA11" s="37"/>
      <c r="AB11" s="3"/>
      <c r="AD11" s="4">
        <f t="shared" ca="1" si="11"/>
        <v>0.76132049924238365</v>
      </c>
      <c r="AE11" s="37">
        <f t="shared" si="12"/>
        <v>2631.5</v>
      </c>
      <c r="AF11">
        <v>80</v>
      </c>
      <c r="AG11">
        <f t="shared" ca="1" si="13"/>
        <v>2633.4547412771794</v>
      </c>
      <c r="AI11" s="4">
        <f t="shared" ca="1" si="14"/>
        <v>0.1954741277179437</v>
      </c>
    </row>
    <row r="12" spans="1:35" x14ac:dyDescent="0.2">
      <c r="B12">
        <v>8</v>
      </c>
      <c r="C12" s="5">
        <f>Digital!C12</f>
        <v>-5</v>
      </c>
      <c r="D12" s="5">
        <f>Accuracy!G11</f>
        <v>33900</v>
      </c>
      <c r="E12" s="5">
        <f>Thermistor!K12</f>
        <v>3253.4678923692932</v>
      </c>
      <c r="F12" s="42">
        <f>Digital!D12</f>
        <v>0.65317919075144504</v>
      </c>
      <c r="N12">
        <f t="shared" si="2"/>
        <v>-5.0999999999999996</v>
      </c>
      <c r="O12" s="37">
        <f t="shared" si="3"/>
        <v>34053.792754872535</v>
      </c>
      <c r="P12" s="4">
        <f t="shared" si="4"/>
        <v>0.65420387166091565</v>
      </c>
      <c r="Q12" s="37">
        <f t="shared" si="5"/>
        <v>10</v>
      </c>
      <c r="R12" s="37"/>
      <c r="S12" s="4">
        <f t="shared" si="6"/>
        <v>0.7456666666666667</v>
      </c>
      <c r="T12" s="37">
        <f t="shared" si="7"/>
        <v>24434</v>
      </c>
      <c r="U12" s="4">
        <f t="shared" si="0"/>
        <v>0.87734090969277911</v>
      </c>
      <c r="V12" s="4">
        <f t="shared" si="8"/>
        <v>14374.353464406493</v>
      </c>
      <c r="W12" s="3">
        <f t="shared" ca="1" si="9"/>
        <v>14390.365145821837</v>
      </c>
      <c r="X12" s="4">
        <f t="shared" ca="1" si="1"/>
        <v>0.74483698812913668</v>
      </c>
      <c r="Y12" s="3">
        <f t="shared" ca="1" si="10"/>
        <v>16.011681415344356</v>
      </c>
      <c r="Z12" s="37"/>
      <c r="AA12" s="37"/>
      <c r="AB12" s="3"/>
      <c r="AD12" s="4">
        <f t="shared" ca="1" si="11"/>
        <v>0.74483698812913668</v>
      </c>
      <c r="AE12" s="37">
        <f t="shared" si="12"/>
        <v>2681.5</v>
      </c>
      <c r="AF12">
        <v>75</v>
      </c>
      <c r="AG12">
        <f t="shared" ca="1" si="13"/>
        <v>2683.909842061435</v>
      </c>
      <c r="AI12" s="4">
        <f t="shared" ca="1" si="14"/>
        <v>0.24098420614350288</v>
      </c>
    </row>
    <row r="13" spans="1:35" x14ac:dyDescent="0.2">
      <c r="B13">
        <v>9</v>
      </c>
      <c r="C13" s="5">
        <f>Digital!C13</f>
        <v>0</v>
      </c>
      <c r="D13" s="5">
        <f>Accuracy!G12</f>
        <v>27280</v>
      </c>
      <c r="E13" s="5">
        <f>Thermistor!K13</f>
        <v>3269.2123806123141</v>
      </c>
      <c r="F13" s="42">
        <f>Digital!D13</f>
        <v>0.6024734982332155</v>
      </c>
      <c r="N13">
        <f t="shared" si="2"/>
        <v>-0.1</v>
      </c>
      <c r="O13" s="37">
        <f t="shared" si="3"/>
        <v>27399.838477045436</v>
      </c>
      <c r="P13" s="4">
        <f t="shared" si="4"/>
        <v>0.60352281849855127</v>
      </c>
      <c r="Q13" s="37">
        <f t="shared" si="5"/>
        <v>10</v>
      </c>
      <c r="R13" s="37"/>
      <c r="S13" s="4">
        <f t="shared" si="6"/>
        <v>0.72933333333333339</v>
      </c>
      <c r="T13" s="37">
        <f t="shared" si="7"/>
        <v>23899</v>
      </c>
      <c r="U13" s="4">
        <f t="shared" si="0"/>
        <v>0.82749929410221834</v>
      </c>
      <c r="V13" s="4">
        <f t="shared" si="8"/>
        <v>13557.748434570745</v>
      </c>
      <c r="W13" s="3">
        <f t="shared" ca="1" si="9"/>
        <v>13567.322110506553</v>
      </c>
      <c r="X13" s="4">
        <f t="shared" ca="1" si="1"/>
        <v>0.72881868490635249</v>
      </c>
      <c r="Y13" s="3">
        <f t="shared" ca="1" si="10"/>
        <v>9.5736759358078416</v>
      </c>
      <c r="Z13" s="37"/>
      <c r="AA13" s="37"/>
      <c r="AB13" s="3"/>
      <c r="AD13" s="4">
        <f t="shared" ca="1" si="11"/>
        <v>0.72881868490635249</v>
      </c>
      <c r="AE13" s="37">
        <f t="shared" si="12"/>
        <v>2731.5</v>
      </c>
      <c r="AF13">
        <v>70</v>
      </c>
      <c r="AG13">
        <f t="shared" ca="1" si="13"/>
        <v>2732.9489796992857</v>
      </c>
      <c r="AI13" s="4">
        <f t="shared" ca="1" si="14"/>
        <v>0.1448979699285701</v>
      </c>
    </row>
    <row r="14" spans="1:35" x14ac:dyDescent="0.2">
      <c r="B14">
        <v>10</v>
      </c>
      <c r="C14" s="5">
        <f>Digital!C14</f>
        <v>5</v>
      </c>
      <c r="D14" s="5">
        <f>Accuracy!G13</f>
        <v>22050</v>
      </c>
      <c r="E14" s="5">
        <f>Thermistor!K14</f>
        <v>3278.7683197675383</v>
      </c>
      <c r="F14" s="42">
        <f>Digital!D14</f>
        <v>0.550561797752809</v>
      </c>
      <c r="N14">
        <f t="shared" si="2"/>
        <v>4.9000000000000004</v>
      </c>
      <c r="O14" s="37">
        <f t="shared" si="3"/>
        <v>22143.678142084551</v>
      </c>
      <c r="P14" s="4">
        <f t="shared" si="4"/>
        <v>0.55161059391989964</v>
      </c>
      <c r="Q14" s="37">
        <f t="shared" si="5"/>
        <v>10</v>
      </c>
      <c r="R14" s="37"/>
      <c r="S14" s="4">
        <f t="shared" si="6"/>
        <v>0.71299999999999997</v>
      </c>
      <c r="T14" s="37">
        <f t="shared" si="7"/>
        <v>23364</v>
      </c>
      <c r="U14" s="4">
        <f t="shared" si="0"/>
        <v>0.77364739680210337</v>
      </c>
      <c r="V14" s="4">
        <f t="shared" si="8"/>
        <v>12675.438949205662</v>
      </c>
      <c r="W14" s="3">
        <f t="shared" ca="1" si="9"/>
        <v>12677.838349065729</v>
      </c>
      <c r="X14" s="4">
        <f t="shared" ca="1" si="1"/>
        <v>0.71286505806012623</v>
      </c>
      <c r="Y14" s="3">
        <f t="shared" ca="1" si="10"/>
        <v>2.3993998600672057</v>
      </c>
      <c r="Z14" s="37"/>
      <c r="AA14" s="37"/>
      <c r="AB14" s="3"/>
      <c r="AD14" s="4">
        <f t="shared" ca="1" si="11"/>
        <v>0.71286505806012623</v>
      </c>
      <c r="AE14" s="37">
        <f t="shared" si="12"/>
        <v>2781.5</v>
      </c>
      <c r="AF14">
        <v>65</v>
      </c>
      <c r="AG14">
        <f t="shared" ca="1" si="13"/>
        <v>2781.7969287466435</v>
      </c>
      <c r="AI14" s="4">
        <f t="shared" ca="1" si="14"/>
        <v>2.969287466435162E-2</v>
      </c>
    </row>
    <row r="15" spans="1:35" x14ac:dyDescent="0.2">
      <c r="B15">
        <v>11</v>
      </c>
      <c r="C15" s="5">
        <f>Digital!C15</f>
        <v>10</v>
      </c>
      <c r="D15" s="5">
        <f>Accuracy!G14</f>
        <v>17960</v>
      </c>
      <c r="E15" s="5">
        <f>Thermistor!K15</f>
        <v>3295.5885379119959</v>
      </c>
      <c r="F15" s="42">
        <f>Digital!D15</f>
        <v>0.49944382647385982</v>
      </c>
      <c r="N15">
        <f t="shared" si="2"/>
        <v>9.9</v>
      </c>
      <c r="O15" s="37">
        <f t="shared" si="3"/>
        <v>18034.003593105335</v>
      </c>
      <c r="P15" s="4">
        <f t="shared" si="4"/>
        <v>0.5004718264654866</v>
      </c>
      <c r="Q15" s="37">
        <f t="shared" si="5"/>
        <v>10</v>
      </c>
      <c r="R15" s="37"/>
      <c r="S15" s="4">
        <f t="shared" si="6"/>
        <v>0.69666666666666666</v>
      </c>
      <c r="T15" s="37">
        <f t="shared" si="7"/>
        <v>22828</v>
      </c>
      <c r="U15" s="4">
        <f t="shared" si="0"/>
        <v>0.71838061215141613</v>
      </c>
      <c r="V15" s="4">
        <f t="shared" si="8"/>
        <v>11769.947949488802</v>
      </c>
      <c r="W15" s="3">
        <f t="shared" ca="1" si="9"/>
        <v>11763.385134870816</v>
      </c>
      <c r="X15" s="4">
        <f t="shared" ca="1" si="1"/>
        <v>0.69705533830594768</v>
      </c>
      <c r="Y15" s="3">
        <f t="shared" ca="1" si="10"/>
        <v>-6.5628146179860778</v>
      </c>
      <c r="Z15" s="37"/>
      <c r="AA15" s="37"/>
      <c r="AB15" s="3"/>
      <c r="AD15" s="4">
        <f t="shared" ca="1" si="11"/>
        <v>0.69705533830594768</v>
      </c>
      <c r="AE15" s="37">
        <f t="shared" si="12"/>
        <v>2831.5</v>
      </c>
      <c r="AF15">
        <v>60</v>
      </c>
      <c r="AG15">
        <f t="shared" ca="1" si="13"/>
        <v>2830.2099569177562</v>
      </c>
      <c r="AI15" s="4">
        <f t="shared" ca="1" si="14"/>
        <v>-0.12900430822437556</v>
      </c>
    </row>
    <row r="16" spans="1:35" x14ac:dyDescent="0.2">
      <c r="B16">
        <v>12</v>
      </c>
      <c r="C16" s="5">
        <f>Digital!C16</f>
        <v>15</v>
      </c>
      <c r="D16" s="5">
        <f>Accuracy!G15</f>
        <v>14690</v>
      </c>
      <c r="E16" s="5">
        <f>Thermistor!K16</f>
        <v>3304.0170146439755</v>
      </c>
      <c r="F16" s="42">
        <f>Digital!D16</f>
        <v>0.44937289691037013</v>
      </c>
      <c r="N16">
        <f t="shared" si="2"/>
        <v>14.9</v>
      </c>
      <c r="O16" s="37">
        <f t="shared" si="3"/>
        <v>14748.592529166921</v>
      </c>
      <c r="P16" s="4">
        <f t="shared" si="4"/>
        <v>0.45035805786252842</v>
      </c>
      <c r="Q16" s="37">
        <f t="shared" si="5"/>
        <v>10</v>
      </c>
      <c r="R16" s="37"/>
      <c r="S16" s="4">
        <f t="shared" si="6"/>
        <v>0.68033333333333335</v>
      </c>
      <c r="T16" s="37">
        <f t="shared" si="7"/>
        <v>22293</v>
      </c>
      <c r="U16" s="4">
        <f t="shared" si="0"/>
        <v>0.6619667680487924</v>
      </c>
      <c r="V16" s="4">
        <f t="shared" si="8"/>
        <v>10845.663527711415</v>
      </c>
      <c r="W16" s="3">
        <f t="shared" ca="1" si="9"/>
        <v>10835.343831145496</v>
      </c>
      <c r="X16" s="4">
        <f t="shared" ca="1" si="1"/>
        <v>0.68098129002701013</v>
      </c>
      <c r="Y16" s="3">
        <f t="shared" ca="1" si="10"/>
        <v>-10.319696565919003</v>
      </c>
      <c r="Z16" s="37"/>
      <c r="AA16" s="37"/>
      <c r="AB16" s="3"/>
      <c r="AD16" s="4">
        <f t="shared" ca="1" si="11"/>
        <v>0.68098129002701013</v>
      </c>
      <c r="AE16" s="37">
        <f t="shared" si="12"/>
        <v>2881.5</v>
      </c>
      <c r="AF16">
        <v>55</v>
      </c>
      <c r="AG16">
        <f t="shared" ca="1" si="13"/>
        <v>2879.4372150092868</v>
      </c>
      <c r="AI16" s="4">
        <f t="shared" ca="1" si="14"/>
        <v>-0.20627849907132259</v>
      </c>
    </row>
    <row r="17" spans="2:35" x14ac:dyDescent="0.2">
      <c r="B17">
        <v>13</v>
      </c>
      <c r="C17" s="5">
        <f>Digital!C17</f>
        <v>20</v>
      </c>
      <c r="D17" s="5">
        <f>Accuracy!G16</f>
        <v>12090</v>
      </c>
      <c r="E17" s="5">
        <f>Thermistor!K17</f>
        <v>3317.6930768028587</v>
      </c>
      <c r="F17" s="42">
        <f>Digital!D17</f>
        <v>0.40179461615154538</v>
      </c>
      <c r="N17">
        <f t="shared" si="2"/>
        <v>19.899999999999999</v>
      </c>
      <c r="O17" s="37">
        <f t="shared" si="3"/>
        <v>12136.781027973091</v>
      </c>
      <c r="P17" s="4">
        <f t="shared" si="4"/>
        <v>0.40272320446923904</v>
      </c>
      <c r="Q17" s="37">
        <f t="shared" si="5"/>
        <v>11</v>
      </c>
      <c r="R17" s="37"/>
      <c r="S17" s="4">
        <f t="shared" si="6"/>
        <v>0.66400000000000003</v>
      </c>
      <c r="T17" s="37">
        <f t="shared" si="7"/>
        <v>21758</v>
      </c>
      <c r="U17" s="4">
        <f t="shared" si="0"/>
        <v>0.60651085010427563</v>
      </c>
      <c r="V17" s="4">
        <f t="shared" si="8"/>
        <v>9937.073768108452</v>
      </c>
      <c r="W17" s="3">
        <f t="shared" ca="1" si="9"/>
        <v>9926.0496242182599</v>
      </c>
      <c r="X17" s="4">
        <f t="shared" ca="1" si="1"/>
        <v>0.6647374566741262</v>
      </c>
      <c r="Y17" s="3">
        <f t="shared" ca="1" si="10"/>
        <v>-11.024143890192136</v>
      </c>
      <c r="Z17" s="37"/>
      <c r="AA17" s="37"/>
      <c r="AB17" s="3"/>
      <c r="AD17" s="4">
        <f t="shared" ca="1" si="11"/>
        <v>0.6647374566741262</v>
      </c>
      <c r="AE17" s="37">
        <f t="shared" si="12"/>
        <v>2931.5</v>
      </c>
      <c r="AF17">
        <v>50</v>
      </c>
      <c r="AG17">
        <f t="shared" ca="1" si="13"/>
        <v>2929.1882981909694</v>
      </c>
      <c r="AI17" s="4">
        <f t="shared" ca="1" si="14"/>
        <v>-0.23117018090306374</v>
      </c>
    </row>
    <row r="18" spans="2:35" x14ac:dyDescent="0.2">
      <c r="B18">
        <v>14</v>
      </c>
      <c r="C18" s="5">
        <f>Digital!C18</f>
        <v>25</v>
      </c>
      <c r="D18" s="5">
        <f>Accuracy!G17</f>
        <v>10000</v>
      </c>
      <c r="E18" s="5">
        <f>Thermistor!K18</f>
        <v>3328.82552987186</v>
      </c>
      <c r="F18" s="42">
        <f>Digital!D18</f>
        <v>0.35714285714285715</v>
      </c>
      <c r="N18">
        <f t="shared" si="2"/>
        <v>24.9</v>
      </c>
      <c r="O18" s="37">
        <f t="shared" si="3"/>
        <v>10037.530191455575</v>
      </c>
      <c r="P18" s="4">
        <f t="shared" si="4"/>
        <v>0.35800336630629853</v>
      </c>
      <c r="Q18" s="37">
        <f t="shared" si="5"/>
        <v>11</v>
      </c>
      <c r="R18" s="37"/>
      <c r="S18" s="4">
        <f t="shared" si="6"/>
        <v>0.64766666666666661</v>
      </c>
      <c r="T18" s="37">
        <f t="shared" si="7"/>
        <v>21223</v>
      </c>
      <c r="U18" s="4">
        <f t="shared" si="0"/>
        <v>0.55275867160004921</v>
      </c>
      <c r="V18" s="4">
        <f t="shared" si="8"/>
        <v>9056.3980754952063</v>
      </c>
      <c r="W18" s="3">
        <f t="shared" ca="1" si="9"/>
        <v>9048.2926185222823</v>
      </c>
      <c r="X18" s="4">
        <f t="shared" ca="1" si="1"/>
        <v>0.64824684621222173</v>
      </c>
      <c r="Y18" s="3">
        <f t="shared" ca="1" si="10"/>
        <v>-8.1054569729240029</v>
      </c>
      <c r="Z18" s="37"/>
      <c r="AA18" s="37"/>
      <c r="AB18" s="3"/>
      <c r="AD18" s="4">
        <f t="shared" ca="1" si="11"/>
        <v>0.64824684621222173</v>
      </c>
      <c r="AE18" s="37">
        <f t="shared" si="12"/>
        <v>2981.5</v>
      </c>
      <c r="AF18">
        <v>45</v>
      </c>
      <c r="AG18">
        <f t="shared" ca="1" si="13"/>
        <v>2979.6980609556749</v>
      </c>
      <c r="AI18" s="4">
        <f t="shared" ca="1" si="14"/>
        <v>-0.18019390443250813</v>
      </c>
    </row>
    <row r="19" spans="2:35" x14ac:dyDescent="0.2">
      <c r="B19">
        <v>15</v>
      </c>
      <c r="C19" s="5">
        <f>Digital!C19</f>
        <v>30</v>
      </c>
      <c r="D19" s="5">
        <f>Accuracy!G18</f>
        <v>8313</v>
      </c>
      <c r="E19" s="5">
        <f>Thermistor!K19</f>
        <v>3339.9579829408613</v>
      </c>
      <c r="F19" s="42">
        <f>Digital!D19</f>
        <v>0.31592748831376127</v>
      </c>
      <c r="N19">
        <f t="shared" si="2"/>
        <v>29.9</v>
      </c>
      <c r="O19" s="37">
        <f t="shared" si="3"/>
        <v>8343.2772627693994</v>
      </c>
      <c r="P19" s="4">
        <f t="shared" si="4"/>
        <v>0.31671371711069685</v>
      </c>
      <c r="Q19" s="37">
        <f t="shared" si="5"/>
        <v>11</v>
      </c>
      <c r="R19" s="37"/>
      <c r="S19" s="4">
        <f t="shared" si="6"/>
        <v>0.6313333333333333</v>
      </c>
      <c r="T19" s="37">
        <f t="shared" si="7"/>
        <v>20688</v>
      </c>
      <c r="U19" s="4">
        <f t="shared" si="0"/>
        <v>0.5016584748321492</v>
      </c>
      <c r="V19" s="4">
        <f t="shared" si="8"/>
        <v>8219.1724516499326</v>
      </c>
      <c r="W19" s="3">
        <f t="shared" ca="1" si="9"/>
        <v>8215.7243373670026</v>
      </c>
      <c r="X19" s="4">
        <f t="shared" ca="1" si="1"/>
        <v>0.63159830199520228</v>
      </c>
      <c r="Y19" s="3">
        <f t="shared" ca="1" si="10"/>
        <v>-3.4481142829299642</v>
      </c>
      <c r="Z19" s="37"/>
      <c r="AA19" s="37"/>
      <c r="AB19" s="3"/>
      <c r="AD19" s="4">
        <f t="shared" ca="1" si="11"/>
        <v>0.63159830199520228</v>
      </c>
      <c r="AE19" s="37">
        <f t="shared" si="12"/>
        <v>3031.5</v>
      </c>
      <c r="AF19">
        <v>40</v>
      </c>
      <c r="AG19">
        <f t="shared" ca="1" si="13"/>
        <v>3030.6933461649833</v>
      </c>
      <c r="AI19" s="4">
        <f t="shared" ca="1" si="14"/>
        <v>-8.066538350167321E-2</v>
      </c>
    </row>
    <row r="20" spans="2:35" x14ac:dyDescent="0.2">
      <c r="B20">
        <v>16</v>
      </c>
      <c r="C20" s="5">
        <f>Digital!C20</f>
        <v>35</v>
      </c>
      <c r="D20" s="5">
        <f>Accuracy!G19</f>
        <v>6940</v>
      </c>
      <c r="E20" s="5">
        <f>Thermistor!K20</f>
        <v>3356.0376575463997</v>
      </c>
      <c r="F20" s="42">
        <f>Digital!D20</f>
        <v>0.27826784282277467</v>
      </c>
      <c r="N20">
        <f t="shared" si="2"/>
        <v>34.9</v>
      </c>
      <c r="O20" s="37">
        <f t="shared" si="3"/>
        <v>6964.5793756922649</v>
      </c>
      <c r="P20" s="4">
        <f t="shared" si="4"/>
        <v>0.27897843864630056</v>
      </c>
      <c r="Q20" s="37">
        <f t="shared" si="5"/>
        <v>11</v>
      </c>
      <c r="R20" s="37"/>
      <c r="S20" s="4">
        <f t="shared" si="6"/>
        <v>0.61499999999999999</v>
      </c>
      <c r="T20" s="37">
        <f t="shared" si="7"/>
        <v>20152</v>
      </c>
      <c r="U20" s="4">
        <f t="shared" si="0"/>
        <v>0.45362347747365944</v>
      </c>
      <c r="V20" s="4">
        <f t="shared" si="8"/>
        <v>7432.1670549284363</v>
      </c>
      <c r="W20" s="3">
        <f t="shared" ca="1" si="9"/>
        <v>7434.1280225024484</v>
      </c>
      <c r="X20" s="4">
        <f t="shared" ca="1" si="1"/>
        <v>0.6148377758555722</v>
      </c>
      <c r="Y20" s="3">
        <f t="shared" ca="1" si="10"/>
        <v>1.960967574012102</v>
      </c>
      <c r="Z20" s="37"/>
      <c r="AA20" s="37"/>
      <c r="AB20" s="3"/>
      <c r="AD20" s="4">
        <f t="shared" ca="1" si="11"/>
        <v>0.6148377758555722</v>
      </c>
      <c r="AE20" s="37">
        <f t="shared" si="12"/>
        <v>3081.5</v>
      </c>
      <c r="AF20">
        <v>35</v>
      </c>
      <c r="AG20">
        <f t="shared" ca="1" si="13"/>
        <v>3082.0322744374116</v>
      </c>
      <c r="AI20" s="4">
        <f t="shared" ca="1" si="14"/>
        <v>5.3227443741161548E-2</v>
      </c>
    </row>
    <row r="21" spans="2:35" x14ac:dyDescent="0.2">
      <c r="B21">
        <v>17</v>
      </c>
      <c r="C21" s="5">
        <f>Digital!C21</f>
        <v>40</v>
      </c>
      <c r="D21" s="5">
        <f>Accuracy!G20</f>
        <v>5827</v>
      </c>
      <c r="E21" s="5">
        <f>Thermistor!K21</f>
        <v>3361.6796185952949</v>
      </c>
      <c r="F21" s="42">
        <f>Digital!D21</f>
        <v>0.24455449699920259</v>
      </c>
      <c r="N21">
        <f t="shared" si="2"/>
        <v>39.9</v>
      </c>
      <c r="O21" s="37">
        <f t="shared" si="3"/>
        <v>5847.0161277712887</v>
      </c>
      <c r="P21" s="4">
        <f t="shared" si="4"/>
        <v>0.2451885844519594</v>
      </c>
      <c r="Q21" s="37">
        <f t="shared" si="5"/>
        <v>11</v>
      </c>
      <c r="R21" s="37"/>
      <c r="S21" s="4">
        <f t="shared" si="6"/>
        <v>0.59866666666666668</v>
      </c>
      <c r="T21" s="37">
        <f t="shared" si="7"/>
        <v>19617</v>
      </c>
      <c r="U21" s="4">
        <f t="shared" si="0"/>
        <v>0.40955776912910813</v>
      </c>
      <c r="V21" s="4">
        <f t="shared" si="8"/>
        <v>6710.1944894113076</v>
      </c>
      <c r="W21" s="3">
        <f t="shared" ca="1" si="9"/>
        <v>6715.2303747299093</v>
      </c>
      <c r="X21" s="4">
        <f t="shared" ca="1" si="1"/>
        <v>0.5982177145817541</v>
      </c>
      <c r="Y21" s="3">
        <f t="shared" ca="1" si="10"/>
        <v>5.0358853186016859</v>
      </c>
      <c r="Z21" s="37"/>
      <c r="AA21" s="37"/>
      <c r="AB21" s="3"/>
      <c r="AD21" s="4">
        <f t="shared" ca="1" si="11"/>
        <v>0.5982177145817541</v>
      </c>
      <c r="AE21" s="37">
        <f t="shared" si="12"/>
        <v>3131.5</v>
      </c>
      <c r="AF21">
        <v>30</v>
      </c>
      <c r="AG21">
        <f t="shared" ca="1" si="13"/>
        <v>3132.9404155902803</v>
      </c>
      <c r="AI21" s="4">
        <f t="shared" ca="1" si="14"/>
        <v>0.14404155902802812</v>
      </c>
    </row>
    <row r="22" spans="2:35" x14ac:dyDescent="0.2">
      <c r="B22">
        <v>18</v>
      </c>
      <c r="C22" s="5">
        <f>Digital!C22</f>
        <v>45</v>
      </c>
      <c r="D22" s="5">
        <f>Accuracy!G21</f>
        <v>4911</v>
      </c>
      <c r="E22" s="5">
        <f>Thermistor!K22</f>
        <v>3372.6557013037723</v>
      </c>
      <c r="F22" s="42">
        <f>Digital!D22</f>
        <v>0.21435118502029593</v>
      </c>
      <c r="N22">
        <f t="shared" si="2"/>
        <v>44.9</v>
      </c>
      <c r="O22" s="37">
        <f t="shared" si="3"/>
        <v>4927.3960254362646</v>
      </c>
      <c r="P22" s="4">
        <f t="shared" si="4"/>
        <v>0.21491302457416794</v>
      </c>
      <c r="Q22" s="37">
        <f t="shared" si="5"/>
        <v>11</v>
      </c>
      <c r="R22" s="37"/>
      <c r="S22" s="4">
        <f t="shared" si="6"/>
        <v>0.58233333333333337</v>
      </c>
      <c r="T22" s="37">
        <f t="shared" si="7"/>
        <v>19082</v>
      </c>
      <c r="U22" s="4">
        <f t="shared" si="0"/>
        <v>0.36905499354465016</v>
      </c>
      <c r="V22" s="4">
        <f t="shared" si="8"/>
        <v>6046.5970142355482</v>
      </c>
      <c r="W22" s="3">
        <f t="shared" ca="1" si="9"/>
        <v>6053.7568812851359</v>
      </c>
      <c r="X22" s="4">
        <f t="shared" ca="1" si="1"/>
        <v>0.58164459915933642</v>
      </c>
      <c r="Y22" s="3">
        <f t="shared" ca="1" si="10"/>
        <v>7.1598670495877741</v>
      </c>
      <c r="Z22" s="37"/>
      <c r="AA22" s="37"/>
      <c r="AB22" s="3"/>
      <c r="AD22" s="4">
        <f t="shared" ca="1" si="11"/>
        <v>0.58164459915933642</v>
      </c>
      <c r="AE22" s="37">
        <f t="shared" si="12"/>
        <v>3181.5</v>
      </c>
      <c r="AF22">
        <v>25</v>
      </c>
      <c r="AG22">
        <f t="shared" ca="1" si="13"/>
        <v>3183.7030814760674</v>
      </c>
      <c r="AI22" s="4">
        <f t="shared" ca="1" si="14"/>
        <v>0.2203081476067382</v>
      </c>
    </row>
    <row r="23" spans="2:35" x14ac:dyDescent="0.2">
      <c r="B23">
        <v>19</v>
      </c>
      <c r="C23" s="5">
        <f>Digital!C23</f>
        <v>50</v>
      </c>
      <c r="D23" s="5">
        <f>Accuracy!G22</f>
        <v>4160</v>
      </c>
      <c r="E23" s="5">
        <f>Thermistor!K23</f>
        <v>3380.1286555311299</v>
      </c>
      <c r="F23" s="42">
        <f>Digital!D23</f>
        <v>0.18772563176895307</v>
      </c>
      <c r="N23">
        <f t="shared" si="2"/>
        <v>49.9</v>
      </c>
      <c r="O23" s="37">
        <f t="shared" si="3"/>
        <v>4173.4913664897113</v>
      </c>
      <c r="P23" s="4">
        <f t="shared" si="4"/>
        <v>0.18821985665266108</v>
      </c>
      <c r="Q23" s="37">
        <f t="shared" si="5"/>
        <v>11</v>
      </c>
      <c r="R23" s="37"/>
      <c r="S23" s="4">
        <f t="shared" si="6"/>
        <v>0.56600000000000006</v>
      </c>
      <c r="T23" s="37">
        <f t="shared" si="7"/>
        <v>18547</v>
      </c>
      <c r="U23" s="4">
        <f t="shared" si="0"/>
        <v>0.33254391634745772</v>
      </c>
      <c r="V23" s="4">
        <f t="shared" si="8"/>
        <v>5448.3995254367474</v>
      </c>
      <c r="W23" s="3">
        <f t="shared" ca="1" si="9"/>
        <v>5455.2179276853904</v>
      </c>
      <c r="X23" s="4">
        <f t="shared" ca="1" si="1"/>
        <v>0.56529256434410324</v>
      </c>
      <c r="Y23" s="3">
        <f t="shared" ca="1" si="10"/>
        <v>6.8184022486429967</v>
      </c>
      <c r="Z23" s="37"/>
      <c r="AA23" s="37"/>
      <c r="AB23" s="3"/>
      <c r="AD23" s="4">
        <f t="shared" ca="1" si="11"/>
        <v>0.56529256434410324</v>
      </c>
      <c r="AE23" s="37">
        <f t="shared" si="12"/>
        <v>3231.5</v>
      </c>
      <c r="AF23">
        <v>20</v>
      </c>
      <c r="AG23">
        <f t="shared" ca="1" si="13"/>
        <v>3233.7858289518017</v>
      </c>
      <c r="AI23" s="4">
        <f t="shared" ca="1" si="14"/>
        <v>0.22858289518017044</v>
      </c>
    </row>
    <row r="24" spans="2:35" x14ac:dyDescent="0.2">
      <c r="B24">
        <v>20</v>
      </c>
      <c r="C24" s="5">
        <f>Digital!C24</f>
        <v>55</v>
      </c>
      <c r="D24" s="5">
        <f>Accuracy!G23</f>
        <v>3536</v>
      </c>
      <c r="E24" s="5">
        <f>Thermistor!K24</f>
        <v>3390.3740982557551</v>
      </c>
      <c r="F24" s="42">
        <f>Digital!D24</f>
        <v>0.16419019316493313</v>
      </c>
      <c r="N24">
        <f t="shared" si="2"/>
        <v>54.9</v>
      </c>
      <c r="O24" s="37">
        <f t="shared" si="3"/>
        <v>3547.1540221270488</v>
      </c>
      <c r="P24" s="4">
        <f t="shared" si="4"/>
        <v>0.16462285545851815</v>
      </c>
      <c r="Q24" s="37">
        <f t="shared" si="5"/>
        <v>12</v>
      </c>
      <c r="R24" s="37"/>
      <c r="S24" s="4">
        <f t="shared" si="6"/>
        <v>0.54966666666666675</v>
      </c>
      <c r="T24" s="37">
        <f t="shared" si="7"/>
        <v>18011</v>
      </c>
      <c r="U24" s="4">
        <f t="shared" si="0"/>
        <v>0.299495795255036</v>
      </c>
      <c r="V24" s="4">
        <f t="shared" si="8"/>
        <v>4906.9391094585098</v>
      </c>
      <c r="W24" s="3">
        <f t="shared" ca="1" si="9"/>
        <v>4912.7586625914109</v>
      </c>
      <c r="X24" s="4">
        <f t="shared" ca="1" si="1"/>
        <v>0.54901554280902465</v>
      </c>
      <c r="Y24" s="3">
        <f t="shared" ca="1" si="10"/>
        <v>5.8195531329010919</v>
      </c>
      <c r="Z24" s="37"/>
      <c r="AA24" s="37"/>
      <c r="AB24" s="3"/>
      <c r="AD24" s="4">
        <f t="shared" ca="1" si="11"/>
        <v>0.54901554280902465</v>
      </c>
      <c r="AE24" s="37">
        <f t="shared" si="12"/>
        <v>3281.5</v>
      </c>
      <c r="AF24">
        <v>15</v>
      </c>
      <c r="AG24">
        <f t="shared" ca="1" si="13"/>
        <v>3283.6350109256609</v>
      </c>
      <c r="AI24" s="4">
        <f t="shared" ca="1" si="14"/>
        <v>0.21350109256609356</v>
      </c>
    </row>
    <row r="25" spans="2:35" x14ac:dyDescent="0.2">
      <c r="B25">
        <v>21</v>
      </c>
      <c r="C25" s="5">
        <f>Digital!C25</f>
        <v>60</v>
      </c>
      <c r="D25" s="5">
        <f>Accuracy!G24</f>
        <v>3020</v>
      </c>
      <c r="E25" s="5">
        <f>Thermistor!K25</f>
        <v>3397.9721934909303</v>
      </c>
      <c r="F25" s="42">
        <f>Digital!D25</f>
        <v>0.14367269267364416</v>
      </c>
      <c r="N25">
        <f t="shared" si="2"/>
        <v>59.9</v>
      </c>
      <c r="O25" s="37">
        <f t="shared" si="3"/>
        <v>3029.262808438571</v>
      </c>
      <c r="P25" s="4">
        <f t="shared" si="4"/>
        <v>0.1440498811600279</v>
      </c>
      <c r="Q25" s="37">
        <f t="shared" si="5"/>
        <v>12</v>
      </c>
      <c r="R25" s="37"/>
      <c r="S25" s="4">
        <f t="shared" si="6"/>
        <v>0.53333333333333333</v>
      </c>
      <c r="T25" s="37">
        <f t="shared" si="7"/>
        <v>17476</v>
      </c>
      <c r="U25" s="4">
        <f t="shared" si="0"/>
        <v>0.27009352717505231</v>
      </c>
      <c r="V25" s="4">
        <f t="shared" si="8"/>
        <v>4425.212349236057</v>
      </c>
      <c r="W25" s="3">
        <f t="shared" ca="1" si="9"/>
        <v>4428.5653911053305</v>
      </c>
      <c r="X25" s="4">
        <f t="shared" ca="1" si="1"/>
        <v>0.53292952558996398</v>
      </c>
      <c r="Y25" s="3">
        <f t="shared" ca="1" si="10"/>
        <v>3.3530418692735111</v>
      </c>
      <c r="Z25" s="37"/>
      <c r="AA25" s="37"/>
      <c r="AB25" s="3"/>
      <c r="AD25" s="4">
        <f t="shared" ca="1" si="11"/>
        <v>0.53292952558996398</v>
      </c>
      <c r="AE25" s="37">
        <f t="shared" si="12"/>
        <v>3331.5</v>
      </c>
      <c r="AF25">
        <v>10</v>
      </c>
      <c r="AG25">
        <f t="shared" ca="1" si="13"/>
        <v>3332.8944301242491</v>
      </c>
      <c r="AI25" s="4">
        <f t="shared" ca="1" si="14"/>
        <v>0.13944301242490836</v>
      </c>
    </row>
    <row r="26" spans="2:35" x14ac:dyDescent="0.2">
      <c r="B26">
        <v>22</v>
      </c>
      <c r="C26" s="5">
        <f>Digital!C26</f>
        <v>65</v>
      </c>
      <c r="D26" s="5">
        <f>Accuracy!G25</f>
        <v>2588</v>
      </c>
      <c r="E26" s="5">
        <f>Thermistor!K26</f>
        <v>3406.9396199091088</v>
      </c>
      <c r="F26" s="42">
        <f>Digital!D26</f>
        <v>0.12570429376335729</v>
      </c>
      <c r="N26">
        <f t="shared" si="2"/>
        <v>64.900000000000006</v>
      </c>
      <c r="O26" s="37">
        <f t="shared" si="3"/>
        <v>2595.7247729346673</v>
      </c>
      <c r="P26" s="4">
        <f t="shared" si="4"/>
        <v>0.12603221307102389</v>
      </c>
      <c r="Q26" s="37">
        <f t="shared" si="5"/>
        <v>12</v>
      </c>
      <c r="R26" s="37"/>
      <c r="S26" s="4">
        <f t="shared" si="6"/>
        <v>0.51700000000000002</v>
      </c>
      <c r="T26" s="37">
        <f t="shared" si="7"/>
        <v>16941</v>
      </c>
      <c r="U26" s="4">
        <f t="shared" si="0"/>
        <v>0.24377604075633247</v>
      </c>
      <c r="V26" s="4">
        <f t="shared" si="8"/>
        <v>3994.0266517517512</v>
      </c>
      <c r="W26" s="3">
        <f t="shared" ca="1" si="9"/>
        <v>3995.1478660588018</v>
      </c>
      <c r="X26" s="4">
        <f t="shared" ca="1" si="1"/>
        <v>0.51685490704820469</v>
      </c>
      <c r="Y26" s="3">
        <f t="shared" ca="1" si="10"/>
        <v>1.1212143070506499</v>
      </c>
      <c r="Z26" s="37"/>
      <c r="AA26" s="37"/>
      <c r="AB26" s="3"/>
      <c r="AD26" s="4">
        <f t="shared" ca="1" si="11"/>
        <v>0.51685490704820469</v>
      </c>
      <c r="AE26" s="37">
        <f t="shared" si="12"/>
        <v>3381.5</v>
      </c>
      <c r="AF26">
        <v>5</v>
      </c>
      <c r="AG26">
        <f t="shared" ca="1" si="13"/>
        <v>3382.1131257881552</v>
      </c>
      <c r="AI26" s="4">
        <f t="shared" ca="1" si="14"/>
        <v>6.131257881552301E-2</v>
      </c>
    </row>
    <row r="27" spans="2:35" x14ac:dyDescent="0.2">
      <c r="B27">
        <v>23</v>
      </c>
      <c r="C27" s="5">
        <f>Digital!C27</f>
        <v>70</v>
      </c>
      <c r="D27" s="5">
        <f>Accuracy!G26</f>
        <v>2228</v>
      </c>
      <c r="E27" s="5">
        <f>Thermistor!K27</f>
        <v>3413.7057039817732</v>
      </c>
      <c r="F27" s="42">
        <f>Digital!D27</f>
        <v>0.11014435436029267</v>
      </c>
      <c r="N27">
        <f t="shared" si="2"/>
        <v>69.900000000000006</v>
      </c>
      <c r="O27" s="37">
        <f t="shared" si="3"/>
        <v>2234.4703786602008</v>
      </c>
      <c r="P27" s="4">
        <f t="shared" si="4"/>
        <v>0.11042890359100931</v>
      </c>
      <c r="Q27" s="37">
        <f t="shared" si="5"/>
        <v>12</v>
      </c>
      <c r="R27" s="37"/>
      <c r="S27" s="4">
        <f t="shared" si="6"/>
        <v>0.5006666666666667</v>
      </c>
      <c r="T27" s="37">
        <f t="shared" si="7"/>
        <v>16406</v>
      </c>
      <c r="U27" s="4">
        <f t="shared" si="0"/>
        <v>0.22056372221905984</v>
      </c>
      <c r="V27" s="4">
        <f t="shared" si="8"/>
        <v>3613.7160248370765</v>
      </c>
      <c r="W27" s="3">
        <f t="shared" ca="1" si="9"/>
        <v>3612.2110672411168</v>
      </c>
      <c r="X27" s="4">
        <f t="shared" ca="1" si="1"/>
        <v>0.50087525971093183</v>
      </c>
      <c r="Y27" s="3">
        <f t="shared" ca="1" si="10"/>
        <v>-1.504957595959695</v>
      </c>
      <c r="Z27" s="37"/>
      <c r="AA27" s="37"/>
      <c r="AB27" s="3"/>
      <c r="AD27" s="4">
        <f t="shared" ca="1" si="11"/>
        <v>0.50087525971093183</v>
      </c>
      <c r="AE27" s="37">
        <f t="shared" si="12"/>
        <v>3431.5</v>
      </c>
      <c r="AF27">
        <v>0</v>
      </c>
      <c r="AG27">
        <f t="shared" ca="1" si="13"/>
        <v>3431.0342330613535</v>
      </c>
      <c r="AI27" s="4">
        <f t="shared" ca="1" si="14"/>
        <v>-4.6576693864653865E-2</v>
      </c>
    </row>
    <row r="28" spans="2:35" x14ac:dyDescent="0.2">
      <c r="B28">
        <v>24</v>
      </c>
      <c r="C28" s="5">
        <f>Digital!C28</f>
        <v>75</v>
      </c>
      <c r="D28" s="5">
        <f>Accuracy!G27</f>
        <v>1924</v>
      </c>
      <c r="E28" s="5">
        <f>Thermistor!K28</f>
        <v>3421.6494746958688</v>
      </c>
      <c r="F28" s="42">
        <f>Digital!D28</f>
        <v>9.6566954426821922E-2</v>
      </c>
      <c r="N28">
        <f t="shared" si="2"/>
        <v>74.900000000000006</v>
      </c>
      <c r="O28" s="37">
        <f t="shared" si="3"/>
        <v>1929.4405882913152</v>
      </c>
      <c r="P28" s="4">
        <f t="shared" si="4"/>
        <v>9.6813584894343441E-2</v>
      </c>
      <c r="Q28" s="37">
        <f t="shared" si="5"/>
        <v>12</v>
      </c>
      <c r="R28" s="37"/>
      <c r="S28" s="4">
        <f t="shared" si="6"/>
        <v>0.48433333333333334</v>
      </c>
      <c r="T28" s="37">
        <f t="shared" si="7"/>
        <v>15871</v>
      </c>
      <c r="U28" s="4">
        <f t="shared" si="0"/>
        <v>0.1998904023971303</v>
      </c>
      <c r="V28" s="4">
        <f t="shared" si="8"/>
        <v>3275.0043528745828</v>
      </c>
      <c r="W28" s="3">
        <f t="shared" ca="1" si="9"/>
        <v>3271.9306331446478</v>
      </c>
      <c r="X28" s="4">
        <f t="shared" ca="1" si="1"/>
        <v>0.48478832614627726</v>
      </c>
      <c r="Y28" s="3">
        <f t="shared" ca="1" si="10"/>
        <v>-3.0737197299349646</v>
      </c>
      <c r="Z28" s="37"/>
      <c r="AA28" s="37"/>
      <c r="AB28" s="3"/>
      <c r="AD28" s="4">
        <f t="shared" ca="1" si="11"/>
        <v>0.48478832614627726</v>
      </c>
      <c r="AE28" s="37">
        <f t="shared" si="12"/>
        <v>3481.5</v>
      </c>
      <c r="AF28">
        <v>-5</v>
      </c>
      <c r="AG28">
        <f t="shared" ca="1" si="13"/>
        <v>3480.2759077793926</v>
      </c>
      <c r="AI28" s="4">
        <f t="shared" ca="1" si="14"/>
        <v>-0.12240922206074174</v>
      </c>
    </row>
    <row r="29" spans="2:35" x14ac:dyDescent="0.2">
      <c r="B29">
        <v>25</v>
      </c>
      <c r="C29" s="5">
        <f>Digital!C29</f>
        <v>80</v>
      </c>
      <c r="D29" s="5">
        <f>Accuracy!G28</f>
        <v>1668</v>
      </c>
      <c r="E29" s="5">
        <f>Thermistor!K29</f>
        <v>3428.6027558201881</v>
      </c>
      <c r="F29" s="42">
        <f>Digital!D29</f>
        <v>8.4807809640024406E-2</v>
      </c>
      <c r="N29">
        <f t="shared" si="2"/>
        <v>79.900000000000006</v>
      </c>
      <c r="O29" s="37">
        <f t="shared" si="3"/>
        <v>1672.593196936125</v>
      </c>
      <c r="P29" s="4">
        <f t="shared" si="4"/>
        <v>8.5021490567731561E-2</v>
      </c>
      <c r="Q29" s="37">
        <f t="shared" si="5"/>
        <v>13</v>
      </c>
      <c r="R29" s="37"/>
      <c r="S29" s="4">
        <f t="shared" si="6"/>
        <v>0.46800000000000003</v>
      </c>
      <c r="T29" s="37">
        <f t="shared" si="7"/>
        <v>15335</v>
      </c>
      <c r="U29" s="4">
        <f t="shared" si="0"/>
        <v>0.18166985164045205</v>
      </c>
      <c r="V29" s="4">
        <f t="shared" si="8"/>
        <v>2976.4788492771663</v>
      </c>
      <c r="W29" s="3">
        <f t="shared" ca="1" si="9"/>
        <v>2972.343460383438</v>
      </c>
      <c r="X29" s="4">
        <f t="shared" ca="1" si="1"/>
        <v>0.46865112327295289</v>
      </c>
      <c r="Y29" s="3">
        <f t="shared" ca="1" si="10"/>
        <v>-4.1353888937283045</v>
      </c>
      <c r="Z29" s="37"/>
      <c r="AA29" s="37"/>
      <c r="AB29" s="3"/>
      <c r="AD29" s="4">
        <f t="shared" ca="1" si="11"/>
        <v>0.46865112327295289</v>
      </c>
      <c r="AE29" s="37">
        <f t="shared" si="12"/>
        <v>3531.5</v>
      </c>
      <c r="AF29">
        <v>-10</v>
      </c>
      <c r="AG29">
        <f t="shared" ca="1" si="13"/>
        <v>3529.6624567950525</v>
      </c>
      <c r="AI29" s="4">
        <f t="shared" ca="1" si="14"/>
        <v>-0.1837543204947451</v>
      </c>
    </row>
    <row r="30" spans="2:35" x14ac:dyDescent="0.2">
      <c r="B30">
        <v>26</v>
      </c>
      <c r="C30" s="5">
        <f>Digital!C30</f>
        <v>85</v>
      </c>
      <c r="D30" s="5">
        <f>Accuracy!G29</f>
        <v>1451</v>
      </c>
      <c r="E30" s="5">
        <f>Thermistor!K30</f>
        <v>3435.4256651033616</v>
      </c>
      <c r="F30" s="42">
        <f>Digital!D30</f>
        <v>7.4597707058763049E-2</v>
      </c>
      <c r="N30">
        <f t="shared" si="2"/>
        <v>84.9</v>
      </c>
      <c r="O30" s="37">
        <f t="shared" si="3"/>
        <v>1454.8924334941032</v>
      </c>
      <c r="P30" s="4">
        <f t="shared" si="4"/>
        <v>7.4782856727047153E-2</v>
      </c>
      <c r="Q30" s="37">
        <f t="shared" si="5"/>
        <v>13</v>
      </c>
      <c r="R30" s="37"/>
      <c r="S30" s="4">
        <f t="shared" si="6"/>
        <v>0.45166666666666672</v>
      </c>
      <c r="T30" s="37">
        <f t="shared" si="7"/>
        <v>14800</v>
      </c>
      <c r="U30" s="4">
        <f t="shared" si="0"/>
        <v>0.16557090050268741</v>
      </c>
      <c r="V30" s="4">
        <f t="shared" si="8"/>
        <v>2712.7136338360306</v>
      </c>
      <c r="W30" s="3">
        <f t="shared" ca="1" si="9"/>
        <v>2708.380625956825</v>
      </c>
      <c r="X30" s="4">
        <f t="shared" ca="1" si="1"/>
        <v>0.45238926643963978</v>
      </c>
      <c r="Y30" s="3">
        <f t="shared" ca="1" si="10"/>
        <v>-4.3330078792055247</v>
      </c>
      <c r="Z30" s="37"/>
      <c r="AA30" s="37"/>
      <c r="AB30" s="3"/>
      <c r="AD30" s="4">
        <f t="shared" ca="1" si="11"/>
        <v>0.45238926643963978</v>
      </c>
      <c r="AE30" s="37">
        <f t="shared" si="12"/>
        <v>3581.5</v>
      </c>
      <c r="AF30">
        <v>-15</v>
      </c>
      <c r="AG30">
        <f t="shared" ca="1" si="13"/>
        <v>3579.4203114308316</v>
      </c>
      <c r="AI30" s="4">
        <f t="shared" ca="1" si="14"/>
        <v>-0.20796885691684111</v>
      </c>
    </row>
    <row r="31" spans="2:35" x14ac:dyDescent="0.2">
      <c r="B31">
        <v>27</v>
      </c>
      <c r="C31" s="5">
        <f>Digital!C31</f>
        <v>90</v>
      </c>
      <c r="D31" s="5">
        <f>Accuracy!G30</f>
        <v>1266</v>
      </c>
      <c r="E31" s="5">
        <f>Thermistor!K31</f>
        <v>3442.6250908780235</v>
      </c>
      <c r="F31" s="42">
        <f>Digital!D31</f>
        <v>6.5711616318903765E-2</v>
      </c>
      <c r="N31">
        <f t="shared" si="2"/>
        <v>89.9</v>
      </c>
      <c r="O31" s="37">
        <f t="shared" si="3"/>
        <v>1269.3100768756112</v>
      </c>
      <c r="P31" s="4">
        <f t="shared" si="4"/>
        <v>6.5872108124870724E-2</v>
      </c>
      <c r="Q31" s="37">
        <f t="shared" si="5"/>
        <v>13</v>
      </c>
      <c r="R31" s="37"/>
      <c r="S31" s="4">
        <f t="shared" si="6"/>
        <v>0.43533333333333335</v>
      </c>
      <c r="T31" s="37">
        <f t="shared" si="7"/>
        <v>14265</v>
      </c>
      <c r="U31" s="4">
        <f t="shared" si="0"/>
        <v>0.15131418405406752</v>
      </c>
      <c r="V31" s="4">
        <f t="shared" si="8"/>
        <v>2479.1315915418422</v>
      </c>
      <c r="W31" s="3">
        <f t="shared" ca="1" si="9"/>
        <v>2475.6277185392364</v>
      </c>
      <c r="X31" s="4">
        <f t="shared" ca="1" si="1"/>
        <v>0.43594948119045179</v>
      </c>
      <c r="Y31" s="3">
        <f t="shared" ca="1" si="10"/>
        <v>-3.5038730026058147</v>
      </c>
      <c r="Z31" s="37"/>
      <c r="AA31" s="37"/>
      <c r="AB31" s="3"/>
      <c r="AD31" s="4">
        <f t="shared" ca="1" si="11"/>
        <v>0.43594948119045179</v>
      </c>
      <c r="AE31" s="37">
        <f t="shared" si="12"/>
        <v>3631.5</v>
      </c>
      <c r="AF31">
        <v>-20</v>
      </c>
      <c r="AG31">
        <f t="shared" ca="1" si="13"/>
        <v>3629.7110949426169</v>
      </c>
      <c r="AI31" s="4">
        <f t="shared" ca="1" si="14"/>
        <v>-0.178890505738309</v>
      </c>
    </row>
    <row r="32" spans="2:35" x14ac:dyDescent="0.2">
      <c r="B32">
        <v>28</v>
      </c>
      <c r="C32" s="5">
        <f>Digital!C32</f>
        <v>95</v>
      </c>
      <c r="D32" s="5">
        <f>Accuracy!G31</f>
        <v>1108</v>
      </c>
      <c r="E32" s="5">
        <f>Thermistor!K32</f>
        <v>3449.7679754896271</v>
      </c>
      <c r="F32" s="42">
        <f>Digital!D32</f>
        <v>5.798618379736236E-2</v>
      </c>
      <c r="N32">
        <f t="shared" si="2"/>
        <v>94.9</v>
      </c>
      <c r="O32" s="37">
        <f t="shared" si="3"/>
        <v>1110.8245612306571</v>
      </c>
      <c r="P32" s="4">
        <f t="shared" si="4"/>
        <v>5.812541252061626E-2</v>
      </c>
      <c r="Q32" s="37">
        <f t="shared" si="5"/>
        <v>13</v>
      </c>
      <c r="R32" s="37"/>
      <c r="S32" s="4">
        <f t="shared" si="6"/>
        <v>0.41900000000000004</v>
      </c>
      <c r="T32" s="37">
        <f t="shared" si="7"/>
        <v>13730</v>
      </c>
      <c r="U32" s="4">
        <f t="shared" si="0"/>
        <v>0.1387241348940722</v>
      </c>
      <c r="V32" s="4">
        <f t="shared" si="8"/>
        <v>2272.856226104479</v>
      </c>
      <c r="W32" s="3">
        <f t="shared" ca="1" si="9"/>
        <v>2270.9138561580639</v>
      </c>
      <c r="X32" s="4">
        <f t="shared" ca="1" si="1"/>
        <v>0.41935838127692121</v>
      </c>
      <c r="Y32" s="3">
        <f t="shared" ca="1" si="10"/>
        <v>-1.9423699464150559</v>
      </c>
      <c r="Z32" s="37"/>
      <c r="AA32" s="37"/>
      <c r="AB32" s="3"/>
      <c r="AD32" s="4">
        <f t="shared" ca="1" si="11"/>
        <v>0.41935838127692121</v>
      </c>
      <c r="AE32" s="37">
        <f t="shared" si="12"/>
        <v>3681.5</v>
      </c>
      <c r="AF32">
        <v>-25</v>
      </c>
      <c r="AG32">
        <f t="shared" ca="1" si="13"/>
        <v>3680.45191514406</v>
      </c>
      <c r="AI32" s="4">
        <f t="shared" ca="1" si="14"/>
        <v>-0.10480848559400328</v>
      </c>
    </row>
    <row r="33" spans="1:35" x14ac:dyDescent="0.2">
      <c r="B33">
        <v>29</v>
      </c>
      <c r="C33" s="5">
        <f>Digital!C33</f>
        <v>100</v>
      </c>
      <c r="D33" s="5">
        <f>Accuracy!G32</f>
        <v>973.1</v>
      </c>
      <c r="E33" s="5">
        <f>Thermistor!K33</f>
        <v>3456.0945380941935</v>
      </c>
      <c r="F33" s="42">
        <f>Digital!D33</f>
        <v>5.1288403054851349E-2</v>
      </c>
      <c r="N33">
        <f t="shared" si="2"/>
        <v>99.9</v>
      </c>
      <c r="O33" s="37">
        <f t="shared" si="3"/>
        <v>975.518977520259</v>
      </c>
      <c r="P33" s="4">
        <f t="shared" si="4"/>
        <v>5.1409343727353528E-2</v>
      </c>
      <c r="Q33" s="37">
        <f t="shared" si="5"/>
        <v>14</v>
      </c>
      <c r="R33" s="37"/>
      <c r="S33" s="4">
        <f t="shared" si="6"/>
        <v>0.40266666666666673</v>
      </c>
      <c r="T33" s="37">
        <f t="shared" si="7"/>
        <v>13195</v>
      </c>
      <c r="U33" s="4">
        <f t="shared" si="0"/>
        <v>0.12767221124342762</v>
      </c>
      <c r="V33" s="4">
        <f t="shared" si="8"/>
        <v>2091.7815090123181</v>
      </c>
      <c r="W33" s="3">
        <f t="shared" ca="1" si="9"/>
        <v>2091.6007179228077</v>
      </c>
      <c r="X33" s="4">
        <f t="shared" ca="1" si="1"/>
        <v>0.4027014718494879</v>
      </c>
      <c r="Y33" s="3">
        <f t="shared" ca="1" si="10"/>
        <v>-0.18079108951042144</v>
      </c>
      <c r="Z33" s="37"/>
      <c r="AA33" s="37"/>
      <c r="AB33" s="3"/>
      <c r="AD33" s="4">
        <f t="shared" ca="1" si="11"/>
        <v>0.4027014718494879</v>
      </c>
      <c r="AE33" s="37">
        <f t="shared" si="12"/>
        <v>3731.5</v>
      </c>
      <c r="AF33">
        <v>-30</v>
      </c>
      <c r="AG33">
        <f t="shared" ca="1" si="13"/>
        <v>3731.379864916511</v>
      </c>
      <c r="AI33" s="4">
        <f t="shared" ca="1" si="14"/>
        <v>-1.2013508348900359E-2</v>
      </c>
    </row>
    <row r="34" spans="1:35" x14ac:dyDescent="0.2">
      <c r="B34">
        <v>30</v>
      </c>
      <c r="C34" s="5">
        <f>Digital!C34</f>
        <v>105</v>
      </c>
      <c r="D34" s="5">
        <f>Accuracy!G33</f>
        <v>857.2</v>
      </c>
      <c r="E34" s="5">
        <f>Thermistor!K34</f>
        <v>3462.2274570829518</v>
      </c>
      <c r="F34" s="42">
        <f>Digital!D34</f>
        <v>4.5457438007763612E-2</v>
      </c>
      <c r="N34">
        <f t="shared" si="2"/>
        <v>104.9</v>
      </c>
      <c r="O34" s="37">
        <f t="shared" si="3"/>
        <v>859.27850182221243</v>
      </c>
      <c r="P34" s="4">
        <f t="shared" si="4"/>
        <v>4.5562639193179509E-2</v>
      </c>
      <c r="Q34" s="37">
        <f t="shared" si="5"/>
        <v>14</v>
      </c>
      <c r="R34" s="37"/>
      <c r="S34" s="4">
        <f t="shared" si="6"/>
        <v>0.38633333333333336</v>
      </c>
      <c r="T34" s="37">
        <f t="shared" si="7"/>
        <v>12659</v>
      </c>
      <c r="U34" s="4">
        <f t="shared" si="0"/>
        <v>0.11793608074162081</v>
      </c>
      <c r="V34" s="4">
        <f t="shared" si="8"/>
        <v>1932.2647468707153</v>
      </c>
      <c r="W34" s="3">
        <f t="shared" ca="1" si="9"/>
        <v>1934.0759102541592</v>
      </c>
      <c r="X34" s="4">
        <f t="shared" ca="1" si="1"/>
        <v>0.38597155188337712</v>
      </c>
      <c r="Y34" s="3">
        <f t="shared" ca="1" si="10"/>
        <v>1.8111633834439544</v>
      </c>
      <c r="Z34" s="37"/>
      <c r="AA34" s="37"/>
      <c r="AB34" s="3"/>
      <c r="AD34" s="4">
        <f t="shared" ca="1" si="11"/>
        <v>0.38597155188337712</v>
      </c>
      <c r="AE34" s="37">
        <f t="shared" si="12"/>
        <v>3781.5</v>
      </c>
      <c r="AF34">
        <v>-35</v>
      </c>
      <c r="AG34">
        <f t="shared" ca="1" si="13"/>
        <v>3782.5156149418449</v>
      </c>
      <c r="AI34" s="4">
        <f t="shared" ca="1" si="14"/>
        <v>0.10156149418448876</v>
      </c>
    </row>
    <row r="35" spans="1:35" x14ac:dyDescent="0.2">
      <c r="A35">
        <v>0.37</v>
      </c>
      <c r="B35">
        <v>31</v>
      </c>
      <c r="C35" s="5">
        <f>Digital!C35</f>
        <v>110</v>
      </c>
      <c r="D35" s="5">
        <f>Accuracy!G34</f>
        <v>757.6</v>
      </c>
      <c r="E35" s="5">
        <f>Thermistor!K35</f>
        <v>3467.6522274550539</v>
      </c>
      <c r="F35" s="42">
        <f>Digital!D35</f>
        <v>4.0388962340597946E-2</v>
      </c>
      <c r="N35">
        <f t="shared" si="2"/>
        <v>109.9</v>
      </c>
      <c r="O35" s="37">
        <f t="shared" si="3"/>
        <v>759.39210876016341</v>
      </c>
      <c r="P35" s="4">
        <f t="shared" ref="P35:P40" si="15">(O35+$H$5)/(O35+$H$5+$G$5)</f>
        <v>4.0480635212350319E-2</v>
      </c>
      <c r="Q35" s="37">
        <f t="shared" si="5"/>
        <v>14</v>
      </c>
      <c r="R35" s="37"/>
      <c r="S35" s="4">
        <f t="shared" si="6"/>
        <v>0.37000000000000005</v>
      </c>
      <c r="T35" s="37">
        <f t="shared" si="7"/>
        <v>12124</v>
      </c>
      <c r="U35" s="4">
        <f t="shared" si="0"/>
        <v>0.10940712219554138</v>
      </c>
      <c r="V35" s="4">
        <f t="shared" si="8"/>
        <v>1792.52629005175</v>
      </c>
      <c r="W35" s="3">
        <f t="shared" ca="1" si="9"/>
        <v>1796.0542810644033</v>
      </c>
      <c r="X35" s="4">
        <f t="shared" ca="1" si="1"/>
        <v>0.3692732086727869</v>
      </c>
      <c r="Y35" s="3">
        <f t="shared" ca="1" si="10"/>
        <v>3.5279910126532741</v>
      </c>
      <c r="Z35" s="37"/>
      <c r="AA35" s="37"/>
      <c r="AB35" s="3"/>
      <c r="AD35" s="4">
        <f t="shared" ca="1" si="11"/>
        <v>0.3692732086727869</v>
      </c>
      <c r="AE35" s="37">
        <f t="shared" si="12"/>
        <v>3831.5</v>
      </c>
      <c r="AF35">
        <v>-40</v>
      </c>
      <c r="AG35">
        <f t="shared" ref="AG35:AG40" ca="1" si="16">$AD$43*AD35^3+$AE$43*AD35^2+$AF$43*AD35+$AG$43</f>
        <v>3833.5382612906833</v>
      </c>
      <c r="AI35" s="4">
        <f t="shared" ca="1" si="14"/>
        <v>0.20382612906832948</v>
      </c>
    </row>
    <row r="36" spans="1:35" x14ac:dyDescent="0.2">
      <c r="B36">
        <v>32</v>
      </c>
      <c r="C36" s="5">
        <f>Digital!C36</f>
        <v>115</v>
      </c>
      <c r="D36" s="5">
        <f>Accuracy!G35</f>
        <v>0</v>
      </c>
      <c r="E36" s="5" t="e">
        <f>Thermistor!K36</f>
        <v>#NUM!</v>
      </c>
      <c r="F36" s="42">
        <f>Digital!D36</f>
        <v>0</v>
      </c>
      <c r="N36">
        <f t="shared" si="2"/>
        <v>114.9</v>
      </c>
      <c r="O36" s="37" t="e">
        <f t="shared" si="3"/>
        <v>#NUM!</v>
      </c>
      <c r="P36" s="4" t="e">
        <f t="shared" si="15"/>
        <v>#NUM!</v>
      </c>
      <c r="Q36" s="37" t="e">
        <f t="shared" si="5"/>
        <v>#NUM!</v>
      </c>
      <c r="R36" s="37"/>
      <c r="S36" s="4">
        <f t="shared" si="6"/>
        <v>0.35366666666666668</v>
      </c>
      <c r="T36" s="37">
        <f t="shared" si="7"/>
        <v>11589</v>
      </c>
      <c r="U36" s="4" t="e">
        <f t="shared" si="0"/>
        <v>#NUM!</v>
      </c>
      <c r="V36" s="4" t="e">
        <f t="shared" si="8"/>
        <v>#NUM!</v>
      </c>
      <c r="W36" s="3" t="e">
        <f ca="1">$T$43*P36^4+$U$43*P36^3+$V$43*P36^2+$W$43*P36+$X$43</f>
        <v>#NUM!</v>
      </c>
      <c r="X36" s="4" t="e">
        <f ca="1">P36/W36*2^14</f>
        <v>#NUM!</v>
      </c>
      <c r="Y36" s="3" t="e">
        <f ca="1">W36-V36</f>
        <v>#NUM!</v>
      </c>
      <c r="Z36" s="37"/>
      <c r="AA36" s="37"/>
      <c r="AB36" s="3"/>
      <c r="AD36" s="4" t="e">
        <f ca="1">X36</f>
        <v>#NUM!</v>
      </c>
      <c r="AE36" s="37">
        <f>C36*10+2731.5</f>
        <v>3881.5</v>
      </c>
      <c r="AF36">
        <v>-40</v>
      </c>
      <c r="AG36" t="e">
        <f t="shared" ca="1" si="16"/>
        <v>#NUM!</v>
      </c>
      <c r="AI36" s="4" t="e">
        <f ca="1">(AG36-AE36)/10</f>
        <v>#NUM!</v>
      </c>
    </row>
    <row r="37" spans="1:35" x14ac:dyDescent="0.2">
      <c r="B37">
        <v>33</v>
      </c>
      <c r="C37" s="5">
        <f>Digital!C37</f>
        <v>0</v>
      </c>
      <c r="D37" s="5">
        <f>Accuracy!G36</f>
        <v>0</v>
      </c>
      <c r="E37" s="5" t="e">
        <f>Thermistor!K37</f>
        <v>#NUM!</v>
      </c>
      <c r="F37" s="42">
        <f>Digital!D37</f>
        <v>0</v>
      </c>
      <c r="N37">
        <f t="shared" si="2"/>
        <v>-0.1</v>
      </c>
      <c r="O37" s="37" t="e">
        <f t="shared" si="3"/>
        <v>#NUM!</v>
      </c>
      <c r="P37" s="4" t="e">
        <f t="shared" si="15"/>
        <v>#NUM!</v>
      </c>
      <c r="Q37" s="37" t="e">
        <f t="shared" si="5"/>
        <v>#NUM!</v>
      </c>
      <c r="R37" s="37"/>
      <c r="S37" s="4">
        <f t="shared" si="6"/>
        <v>0.33733333333333337</v>
      </c>
      <c r="T37" s="37">
        <f t="shared" si="7"/>
        <v>11054</v>
      </c>
      <c r="U37" s="4" t="e">
        <f t="shared" si="0"/>
        <v>#NUM!</v>
      </c>
      <c r="V37" s="4" t="e">
        <f t="shared" si="8"/>
        <v>#NUM!</v>
      </c>
      <c r="W37" s="3" t="e">
        <f ca="1">$T$43*P37^4+$U$43*P37^3+$V$43*P37^2+$W$43*P37+$X$43</f>
        <v>#NUM!</v>
      </c>
      <c r="X37" s="4" t="e">
        <f ca="1">P37/W37*2^14</f>
        <v>#NUM!</v>
      </c>
      <c r="Y37" s="3" t="e">
        <f ca="1">W37-V37</f>
        <v>#NUM!</v>
      </c>
      <c r="Z37" s="37"/>
      <c r="AA37" s="37"/>
      <c r="AB37" s="3"/>
      <c r="AD37" s="4" t="e">
        <f ca="1">X37</f>
        <v>#NUM!</v>
      </c>
      <c r="AE37" s="37">
        <f>C37*10+2731.5</f>
        <v>2731.5</v>
      </c>
      <c r="AF37">
        <v>-40</v>
      </c>
      <c r="AG37" t="e">
        <f t="shared" ca="1" si="16"/>
        <v>#NUM!</v>
      </c>
      <c r="AI37" s="4" t="e">
        <f ca="1">(AG37-AE37)/10</f>
        <v>#NUM!</v>
      </c>
    </row>
    <row r="38" spans="1:35" x14ac:dyDescent="0.2">
      <c r="B38">
        <v>34</v>
      </c>
      <c r="C38" s="5">
        <f>Digital!C38</f>
        <v>0</v>
      </c>
      <c r="D38" s="5">
        <f>Accuracy!G37</f>
        <v>0</v>
      </c>
      <c r="E38" s="5" t="e">
        <f>Thermistor!K38</f>
        <v>#NUM!</v>
      </c>
      <c r="F38" s="42">
        <f>Digital!D38</f>
        <v>0</v>
      </c>
      <c r="N38">
        <f t="shared" si="2"/>
        <v>-0.1</v>
      </c>
      <c r="O38" s="37" t="e">
        <f t="shared" si="3"/>
        <v>#NUM!</v>
      </c>
      <c r="P38" s="4" t="e">
        <f t="shared" si="15"/>
        <v>#NUM!</v>
      </c>
      <c r="Q38" s="37" t="e">
        <f t="shared" si="5"/>
        <v>#NUM!</v>
      </c>
      <c r="R38" s="37"/>
      <c r="S38" s="4">
        <f t="shared" si="6"/>
        <v>0.32100000000000006</v>
      </c>
      <c r="T38" s="37">
        <f t="shared" si="7"/>
        <v>10519</v>
      </c>
      <c r="U38" s="4" t="e">
        <f t="shared" si="0"/>
        <v>#NUM!</v>
      </c>
      <c r="V38" s="4" t="e">
        <f t="shared" si="8"/>
        <v>#NUM!</v>
      </c>
      <c r="W38" s="3" t="e">
        <f ca="1">$T$43*P38^4+$U$43*P38^3+$V$43*P38^2+$W$43*P38+$X$43</f>
        <v>#NUM!</v>
      </c>
      <c r="X38" s="4" t="e">
        <f ca="1">P38/W38*2^14</f>
        <v>#NUM!</v>
      </c>
      <c r="Y38" s="3" t="e">
        <f ca="1">W38-V38</f>
        <v>#NUM!</v>
      </c>
      <c r="Z38" s="37"/>
      <c r="AA38" s="37"/>
      <c r="AB38" s="3"/>
      <c r="AD38" s="4" t="e">
        <f ca="1">X38</f>
        <v>#NUM!</v>
      </c>
      <c r="AE38" s="37">
        <f>C38*10+2731.5</f>
        <v>2731.5</v>
      </c>
      <c r="AF38">
        <v>-40</v>
      </c>
      <c r="AG38" t="e">
        <f t="shared" ca="1" si="16"/>
        <v>#NUM!</v>
      </c>
      <c r="AI38" s="4" t="e">
        <f ca="1">(AG38-AE38)/10</f>
        <v>#NUM!</v>
      </c>
    </row>
    <row r="39" spans="1:35" x14ac:dyDescent="0.2">
      <c r="B39">
        <v>35</v>
      </c>
      <c r="C39" s="5">
        <f>Digital!C39</f>
        <v>0</v>
      </c>
      <c r="D39" s="5">
        <f>Accuracy!G38</f>
        <v>0</v>
      </c>
      <c r="E39" s="5" t="e">
        <f>Thermistor!K39</f>
        <v>#NUM!</v>
      </c>
      <c r="F39" s="42">
        <f>Digital!D39</f>
        <v>0</v>
      </c>
      <c r="N39">
        <f t="shared" si="2"/>
        <v>-0.1</v>
      </c>
      <c r="O39" s="37" t="e">
        <f t="shared" si="3"/>
        <v>#NUM!</v>
      </c>
      <c r="P39" s="4" t="e">
        <f t="shared" si="15"/>
        <v>#NUM!</v>
      </c>
      <c r="Q39" s="37" t="e">
        <f t="shared" si="5"/>
        <v>#NUM!</v>
      </c>
      <c r="R39" s="37"/>
      <c r="S39" s="4">
        <f t="shared" si="6"/>
        <v>0.30466666666666675</v>
      </c>
      <c r="T39" s="37">
        <f t="shared" si="7"/>
        <v>9983</v>
      </c>
      <c r="U39" s="4" t="e">
        <f t="shared" si="0"/>
        <v>#NUM!</v>
      </c>
      <c r="V39" s="4" t="e">
        <f t="shared" si="8"/>
        <v>#NUM!</v>
      </c>
      <c r="W39" s="3" t="e">
        <f ca="1">$T$43*P39^4+$U$43*P39^3+$V$43*P39^2+$W$43*P39+$X$43</f>
        <v>#NUM!</v>
      </c>
      <c r="X39" s="4" t="e">
        <f ca="1">P39/W39*2^14</f>
        <v>#NUM!</v>
      </c>
      <c r="Y39" s="3" t="e">
        <f ca="1">W39-V39</f>
        <v>#NUM!</v>
      </c>
      <c r="Z39" s="37"/>
      <c r="AA39" s="37"/>
      <c r="AB39" s="3"/>
      <c r="AD39" s="4" t="e">
        <f ca="1">X39</f>
        <v>#NUM!</v>
      </c>
      <c r="AE39" s="37">
        <f>C39*10+2731.5</f>
        <v>2731.5</v>
      </c>
      <c r="AF39">
        <v>-40</v>
      </c>
      <c r="AG39" t="e">
        <f t="shared" ca="1" si="16"/>
        <v>#NUM!</v>
      </c>
      <c r="AI39" s="4" t="e">
        <f ca="1">(AG39-AE39)/10</f>
        <v>#NUM!</v>
      </c>
    </row>
    <row r="40" spans="1:35" x14ac:dyDescent="0.2">
      <c r="B40">
        <v>36</v>
      </c>
      <c r="C40" s="5">
        <f>Digital!C40</f>
        <v>0</v>
      </c>
      <c r="D40" s="5">
        <f>Accuracy!G39</f>
        <v>0</v>
      </c>
      <c r="E40" s="5" t="e">
        <f>Thermistor!K40</f>
        <v>#NUM!</v>
      </c>
      <c r="F40" s="42">
        <f>Digital!D40</f>
        <v>0</v>
      </c>
      <c r="N40">
        <f t="shared" si="2"/>
        <v>-0.1</v>
      </c>
      <c r="O40" s="37" t="e">
        <f t="shared" si="3"/>
        <v>#NUM!</v>
      </c>
      <c r="P40" s="4" t="e">
        <f t="shared" si="15"/>
        <v>#NUM!</v>
      </c>
      <c r="Q40" s="37" t="e">
        <f t="shared" si="5"/>
        <v>#NUM!</v>
      </c>
      <c r="R40" s="37"/>
      <c r="S40" s="4">
        <f t="shared" si="6"/>
        <v>0.28833333333333333</v>
      </c>
      <c r="T40" s="37">
        <f t="shared" si="7"/>
        <v>9448</v>
      </c>
      <c r="U40" s="4" t="e">
        <f t="shared" si="0"/>
        <v>#NUM!</v>
      </c>
      <c r="V40" s="4" t="e">
        <f t="shared" si="8"/>
        <v>#NUM!</v>
      </c>
      <c r="W40" s="3" t="e">
        <f ca="1">$T$43*P40^4+$U$43*P40^3+$V$43*P40^2+$W$43*P40+$X$43</f>
        <v>#NUM!</v>
      </c>
      <c r="X40" s="4" t="e">
        <f ca="1">P40/W40*2^14</f>
        <v>#NUM!</v>
      </c>
      <c r="Y40" s="3" t="e">
        <f ca="1">W40-V40</f>
        <v>#NUM!</v>
      </c>
      <c r="Z40" s="37"/>
      <c r="AA40" s="37"/>
      <c r="AB40" s="3"/>
      <c r="AD40" s="4" t="e">
        <f ca="1">X40</f>
        <v>#NUM!</v>
      </c>
      <c r="AE40" s="37">
        <f>C40*10+2731.5</f>
        <v>2731.5</v>
      </c>
      <c r="AF40">
        <v>-40</v>
      </c>
      <c r="AG40" t="e">
        <f t="shared" ca="1" si="16"/>
        <v>#NUM!</v>
      </c>
      <c r="AI40" s="4" t="e">
        <f ca="1">(AG40-AE40)/10</f>
        <v>#NUM!</v>
      </c>
    </row>
    <row r="42" spans="1:35" x14ac:dyDescent="0.2">
      <c r="A42">
        <f>MATCH(I6,C5:C40,3)</f>
        <v>31</v>
      </c>
      <c r="T42" s="15" t="s">
        <v>86</v>
      </c>
      <c r="U42" s="15" t="s">
        <v>53</v>
      </c>
      <c r="V42" s="15" t="s">
        <v>52</v>
      </c>
      <c r="W42" s="15" t="s">
        <v>51</v>
      </c>
      <c r="X42" s="15" t="s">
        <v>98</v>
      </c>
      <c r="Y42" s="20"/>
      <c r="Z42" s="20"/>
      <c r="AA42" s="20"/>
      <c r="AB42" s="20"/>
      <c r="AD42" t="s">
        <v>92</v>
      </c>
      <c r="AE42" t="s">
        <v>93</v>
      </c>
      <c r="AF42" t="s">
        <v>94</v>
      </c>
      <c r="AG42" t="s">
        <v>95</v>
      </c>
    </row>
    <row r="43" spans="1:35" x14ac:dyDescent="0.2">
      <c r="T43" s="15">
        <f t="array" aca="1" ref="T43:X43" ca="1">LINEST(INDIRECT(L5):INDIRECT(L6),INDIRECT(K5):INDIRECT(K6)^{1,2,3,4},TRUE,TRUE)</f>
        <v>-16010.925161703963</v>
      </c>
      <c r="U43" s="15">
        <f ca="1"/>
        <v>27432.293416789849</v>
      </c>
      <c r="V43" s="15">
        <f ca="1"/>
        <v>-23369.855760927148</v>
      </c>
      <c r="W43" s="15">
        <f ca="1"/>
        <v>29022.337368125649</v>
      </c>
      <c r="X43" s="15">
        <f ca="1"/>
        <v>657.73066285541881</v>
      </c>
      <c r="Y43" s="20"/>
      <c r="Z43" s="20"/>
      <c r="AA43" s="20"/>
      <c r="AB43" s="20"/>
      <c r="AD43" s="15">
        <f t="array" aca="1" ref="AD43:AG43" ca="1">LINEST(INDIRECT(AB5):INDIRECT(AB6),INDIRECT(AA5):INDIRECT(AA6)^{1,2,3},TRUE,TRUE)</f>
        <v>41.880256384355249</v>
      </c>
      <c r="AE43" s="15">
        <f ca="1"/>
        <v>-78.212048590959853</v>
      </c>
      <c r="AF43" s="15">
        <f ca="1"/>
        <v>-3014.4013074907043</v>
      </c>
      <c r="AG43" s="15">
        <f ca="1"/>
        <v>4955.2322264658042</v>
      </c>
    </row>
  </sheetData>
  <phoneticPr fontId="1" type="noConversion"/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2:R41"/>
  <sheetViews>
    <sheetView zoomScale="85" workbookViewId="0">
      <selection activeCell="C4" sqref="C4:C34"/>
    </sheetView>
  </sheetViews>
  <sheetFormatPr defaultRowHeight="12.75" x14ac:dyDescent="0.2"/>
  <sheetData>
    <row r="2" spans="2:18" x14ac:dyDescent="0.2">
      <c r="B2" s="20" t="s">
        <v>56</v>
      </c>
      <c r="C2" s="20" t="s">
        <v>57</v>
      </c>
      <c r="F2" s="20" t="s">
        <v>56</v>
      </c>
      <c r="G2" s="20" t="s">
        <v>57</v>
      </c>
      <c r="O2" s="20"/>
      <c r="P2" s="20" t="s">
        <v>56</v>
      </c>
      <c r="Q2" s="20" t="s">
        <v>57</v>
      </c>
      <c r="R2" s="20"/>
    </row>
    <row r="3" spans="2:18" x14ac:dyDescent="0.2">
      <c r="C3" t="s">
        <v>70</v>
      </c>
      <c r="G3" t="s">
        <v>138</v>
      </c>
      <c r="L3" t="s">
        <v>139</v>
      </c>
      <c r="Q3" s="59" t="s">
        <v>140</v>
      </c>
    </row>
    <row r="4" spans="2:18" x14ac:dyDescent="0.2">
      <c r="B4" s="15">
        <v>-40</v>
      </c>
      <c r="C4" s="28">
        <v>188500</v>
      </c>
      <c r="F4" s="15">
        <v>-40</v>
      </c>
      <c r="G4" s="28"/>
      <c r="K4" s="15">
        <v>-40</v>
      </c>
      <c r="L4" s="28">
        <v>101275</v>
      </c>
      <c r="P4" s="15">
        <v>-40</v>
      </c>
      <c r="Q4" s="60">
        <v>336500</v>
      </c>
    </row>
    <row r="5" spans="2:18" x14ac:dyDescent="0.2">
      <c r="B5" s="15">
        <v>-35</v>
      </c>
      <c r="C5" s="28">
        <v>144100</v>
      </c>
      <c r="F5" s="15">
        <v>-35</v>
      </c>
      <c r="G5" s="28"/>
      <c r="K5" s="15">
        <v>-35</v>
      </c>
      <c r="L5" s="28">
        <v>76325</v>
      </c>
      <c r="P5" s="15">
        <v>-35</v>
      </c>
      <c r="Q5" s="60">
        <v>242600</v>
      </c>
    </row>
    <row r="6" spans="2:18" x14ac:dyDescent="0.2">
      <c r="B6" s="15">
        <v>-30</v>
      </c>
      <c r="C6" s="28">
        <v>111300</v>
      </c>
      <c r="F6" s="15">
        <v>-30</v>
      </c>
      <c r="G6" s="28"/>
      <c r="K6" s="15">
        <v>-30</v>
      </c>
      <c r="L6" s="28">
        <v>58034</v>
      </c>
      <c r="P6" s="15">
        <v>-30</v>
      </c>
      <c r="Q6" s="60">
        <v>177000</v>
      </c>
    </row>
    <row r="7" spans="2:18" x14ac:dyDescent="0.2">
      <c r="B7" s="15">
        <v>-25</v>
      </c>
      <c r="C7" s="28">
        <v>86430</v>
      </c>
      <c r="F7" s="15">
        <v>-25</v>
      </c>
      <c r="G7" s="28"/>
      <c r="K7" s="15">
        <v>-25</v>
      </c>
      <c r="L7" s="28">
        <v>44505</v>
      </c>
      <c r="P7" s="15">
        <v>-25</v>
      </c>
      <c r="Q7" s="60">
        <v>130400</v>
      </c>
    </row>
    <row r="8" spans="2:18" x14ac:dyDescent="0.2">
      <c r="B8" s="15">
        <v>-20</v>
      </c>
      <c r="C8" s="28">
        <v>67770</v>
      </c>
      <c r="F8" s="15">
        <v>-20</v>
      </c>
      <c r="G8" s="28">
        <v>74890</v>
      </c>
      <c r="K8" s="15">
        <v>-20</v>
      </c>
      <c r="L8" s="28">
        <v>34413</v>
      </c>
      <c r="P8" s="15">
        <v>-20</v>
      </c>
      <c r="Q8" s="60">
        <v>97070</v>
      </c>
    </row>
    <row r="9" spans="2:18" x14ac:dyDescent="0.2">
      <c r="B9" s="15">
        <v>-15</v>
      </c>
      <c r="C9" s="28">
        <v>53410</v>
      </c>
      <c r="F9" s="15">
        <v>-15</v>
      </c>
      <c r="G9" s="28">
        <v>57980</v>
      </c>
      <c r="K9" s="15">
        <v>-15</v>
      </c>
      <c r="L9" s="28">
        <v>26821</v>
      </c>
      <c r="P9" s="15">
        <v>-15</v>
      </c>
      <c r="Q9" s="60">
        <v>72930</v>
      </c>
    </row>
    <row r="10" spans="2:18" x14ac:dyDescent="0.2">
      <c r="B10" s="15">
        <v>-10</v>
      </c>
      <c r="C10" s="28">
        <v>42470</v>
      </c>
      <c r="F10" s="15">
        <v>-10</v>
      </c>
      <c r="G10" s="28">
        <v>45310</v>
      </c>
      <c r="K10" s="15">
        <v>-10</v>
      </c>
      <c r="L10" s="28">
        <v>21065</v>
      </c>
      <c r="P10" s="15">
        <v>-10</v>
      </c>
      <c r="Q10" s="60">
        <v>55330</v>
      </c>
    </row>
    <row r="11" spans="2:18" x14ac:dyDescent="0.2">
      <c r="B11" s="15">
        <v>-5</v>
      </c>
      <c r="C11" s="28">
        <v>33900</v>
      </c>
      <c r="F11" s="15">
        <v>-5</v>
      </c>
      <c r="G11" s="28">
        <v>35720</v>
      </c>
      <c r="K11" s="15">
        <v>-5</v>
      </c>
      <c r="L11" s="28">
        <v>16667</v>
      </c>
      <c r="P11" s="15">
        <v>-5</v>
      </c>
      <c r="Q11" s="60">
        <v>42320</v>
      </c>
    </row>
    <row r="12" spans="2:18" x14ac:dyDescent="0.2">
      <c r="B12" s="15">
        <v>0</v>
      </c>
      <c r="C12" s="28">
        <v>27280</v>
      </c>
      <c r="F12" s="15">
        <v>0</v>
      </c>
      <c r="G12" s="28">
        <v>28380</v>
      </c>
      <c r="K12" s="15">
        <v>0</v>
      </c>
      <c r="L12" s="28">
        <v>13280</v>
      </c>
      <c r="P12" s="15">
        <v>0</v>
      </c>
      <c r="Q12" s="60">
        <v>32650</v>
      </c>
    </row>
    <row r="13" spans="2:18" x14ac:dyDescent="0.2">
      <c r="B13" s="15">
        <v>5</v>
      </c>
      <c r="C13" s="28">
        <v>22050</v>
      </c>
      <c r="F13" s="15">
        <v>5</v>
      </c>
      <c r="G13" s="28">
        <v>22720</v>
      </c>
      <c r="K13" s="15">
        <v>5</v>
      </c>
      <c r="L13" s="28">
        <v>10654</v>
      </c>
      <c r="P13" s="15">
        <v>5</v>
      </c>
      <c r="Q13" s="60">
        <v>25390</v>
      </c>
    </row>
    <row r="14" spans="2:18" x14ac:dyDescent="0.2">
      <c r="B14" s="15">
        <v>10</v>
      </c>
      <c r="C14" s="28">
        <v>17960</v>
      </c>
      <c r="F14" s="15">
        <v>10</v>
      </c>
      <c r="G14" s="28">
        <v>18320</v>
      </c>
      <c r="K14" s="15">
        <v>10</v>
      </c>
      <c r="L14" s="28">
        <v>8603.2000000000007</v>
      </c>
      <c r="P14" s="15">
        <v>10</v>
      </c>
      <c r="Q14" s="60">
        <v>19900</v>
      </c>
    </row>
    <row r="15" spans="2:18" x14ac:dyDescent="0.2">
      <c r="B15" s="15">
        <v>15</v>
      </c>
      <c r="C15" s="28">
        <v>14690</v>
      </c>
      <c r="F15" s="15">
        <v>15</v>
      </c>
      <c r="G15" s="28">
        <v>14880</v>
      </c>
      <c r="K15" s="15">
        <v>15</v>
      </c>
      <c r="L15" s="28">
        <v>6991.1</v>
      </c>
      <c r="P15" s="15">
        <v>15</v>
      </c>
      <c r="Q15" s="60">
        <v>15710</v>
      </c>
    </row>
    <row r="16" spans="2:18" x14ac:dyDescent="0.2">
      <c r="B16" s="15">
        <v>20</v>
      </c>
      <c r="C16" s="28">
        <v>12090</v>
      </c>
      <c r="F16" s="15">
        <v>20</v>
      </c>
      <c r="G16" s="28">
        <v>12160</v>
      </c>
      <c r="K16" s="15">
        <v>20</v>
      </c>
      <c r="L16" s="28">
        <v>5715.6</v>
      </c>
      <c r="P16" s="15">
        <v>20</v>
      </c>
      <c r="Q16" s="60">
        <v>12490</v>
      </c>
    </row>
    <row r="17" spans="2:17" x14ac:dyDescent="0.2">
      <c r="B17" s="15">
        <v>25</v>
      </c>
      <c r="C17" s="28">
        <v>10000</v>
      </c>
      <c r="F17" s="15">
        <v>25</v>
      </c>
      <c r="G17" s="28">
        <v>10000</v>
      </c>
      <c r="K17" s="15">
        <v>25</v>
      </c>
      <c r="L17" s="28">
        <v>4700</v>
      </c>
      <c r="P17" s="15">
        <v>25</v>
      </c>
      <c r="Q17" s="60">
        <v>10000</v>
      </c>
    </row>
    <row r="18" spans="2:17" x14ac:dyDescent="0.2">
      <c r="B18" s="15">
        <v>30</v>
      </c>
      <c r="C18" s="28">
        <v>8313</v>
      </c>
      <c r="F18" s="15">
        <v>30</v>
      </c>
      <c r="G18" s="28">
        <v>8272</v>
      </c>
      <c r="K18" s="15">
        <v>30</v>
      </c>
      <c r="L18" s="28">
        <v>3886.6</v>
      </c>
      <c r="P18" s="15">
        <v>30</v>
      </c>
      <c r="Q18" s="60">
        <v>8057</v>
      </c>
    </row>
    <row r="19" spans="2:17" x14ac:dyDescent="0.2">
      <c r="B19" s="15">
        <v>35</v>
      </c>
      <c r="C19" s="28">
        <v>6940</v>
      </c>
      <c r="F19" s="15">
        <v>35</v>
      </c>
      <c r="G19" s="28">
        <v>6881</v>
      </c>
      <c r="K19" s="15">
        <v>35</v>
      </c>
      <c r="L19" s="28">
        <v>3231.2</v>
      </c>
      <c r="P19" s="15">
        <v>35</v>
      </c>
      <c r="Q19" s="60">
        <v>6531</v>
      </c>
    </row>
    <row r="20" spans="2:17" x14ac:dyDescent="0.2">
      <c r="B20" s="15">
        <v>40</v>
      </c>
      <c r="C20" s="28">
        <v>5827</v>
      </c>
      <c r="F20" s="15">
        <v>40</v>
      </c>
      <c r="G20" s="28">
        <v>5754</v>
      </c>
      <c r="K20" s="15">
        <v>40</v>
      </c>
      <c r="L20" s="28">
        <v>2700.3</v>
      </c>
      <c r="P20" s="15">
        <v>40</v>
      </c>
      <c r="Q20" s="60">
        <v>5327</v>
      </c>
    </row>
    <row r="21" spans="2:17" x14ac:dyDescent="0.2">
      <c r="B21" s="15">
        <v>45</v>
      </c>
      <c r="C21" s="28">
        <v>4911</v>
      </c>
      <c r="F21" s="15">
        <v>45</v>
      </c>
      <c r="G21" s="28">
        <v>4837</v>
      </c>
      <c r="K21" s="15">
        <v>45</v>
      </c>
      <c r="L21" s="28">
        <v>2267.9</v>
      </c>
      <c r="P21" s="15">
        <v>45</v>
      </c>
      <c r="Q21" s="60">
        <v>4369</v>
      </c>
    </row>
    <row r="22" spans="2:17" x14ac:dyDescent="0.2">
      <c r="B22" s="15">
        <v>50</v>
      </c>
      <c r="C22" s="28">
        <v>4160</v>
      </c>
      <c r="F22" s="15">
        <v>50</v>
      </c>
      <c r="G22" s="28">
        <v>4085</v>
      </c>
      <c r="K22" s="15">
        <v>50</v>
      </c>
      <c r="L22" s="28">
        <v>1913.9</v>
      </c>
      <c r="P22" s="15">
        <v>50</v>
      </c>
      <c r="Q22" s="60">
        <v>3603</v>
      </c>
    </row>
    <row r="23" spans="2:17" x14ac:dyDescent="0.2">
      <c r="B23" s="15">
        <v>55</v>
      </c>
      <c r="C23" s="28">
        <v>3536</v>
      </c>
      <c r="F23" s="15">
        <v>55</v>
      </c>
      <c r="G23" s="28">
        <v>3466</v>
      </c>
      <c r="K23" s="15">
        <v>55</v>
      </c>
      <c r="L23" s="28">
        <v>1622.6</v>
      </c>
      <c r="P23" s="15">
        <v>55</v>
      </c>
      <c r="Q23" s="60">
        <v>2986</v>
      </c>
    </row>
    <row r="24" spans="2:17" x14ac:dyDescent="0.2">
      <c r="B24" s="15">
        <v>60</v>
      </c>
      <c r="C24" s="28">
        <v>3020</v>
      </c>
      <c r="F24" s="15">
        <v>60</v>
      </c>
      <c r="G24" s="28">
        <v>2955</v>
      </c>
      <c r="K24" s="15">
        <v>60</v>
      </c>
      <c r="L24" s="28">
        <v>1381.7</v>
      </c>
      <c r="P24" s="15">
        <v>60</v>
      </c>
      <c r="Q24" s="60">
        <v>2488</v>
      </c>
    </row>
    <row r="25" spans="2:17" x14ac:dyDescent="0.2">
      <c r="B25" s="15">
        <v>65</v>
      </c>
      <c r="C25" s="28">
        <v>2588</v>
      </c>
      <c r="F25" s="15">
        <v>65</v>
      </c>
      <c r="G25" s="28">
        <v>2530</v>
      </c>
      <c r="K25" s="15">
        <v>65</v>
      </c>
      <c r="L25" s="28">
        <v>1181.7</v>
      </c>
      <c r="P25" s="15">
        <v>65</v>
      </c>
      <c r="Q25" s="60">
        <v>2083</v>
      </c>
    </row>
    <row r="26" spans="2:17" x14ac:dyDescent="0.2">
      <c r="B26" s="15">
        <v>70</v>
      </c>
      <c r="C26" s="28">
        <v>2228</v>
      </c>
      <c r="F26" s="15">
        <v>70</v>
      </c>
      <c r="G26" s="28">
        <v>2174</v>
      </c>
      <c r="K26" s="15">
        <v>70</v>
      </c>
      <c r="L26" s="28">
        <v>1014.7</v>
      </c>
      <c r="P26" s="15">
        <v>70</v>
      </c>
      <c r="Q26" s="60">
        <v>1752</v>
      </c>
    </row>
    <row r="27" spans="2:17" x14ac:dyDescent="0.2">
      <c r="B27" s="15">
        <v>75</v>
      </c>
      <c r="C27" s="28">
        <v>1924</v>
      </c>
      <c r="F27" s="15">
        <v>75</v>
      </c>
      <c r="G27" s="28">
        <v>1876</v>
      </c>
      <c r="K27" s="15">
        <v>75</v>
      </c>
      <c r="L27" s="28">
        <v>874.85</v>
      </c>
      <c r="P27" s="15">
        <v>75</v>
      </c>
      <c r="Q27" s="60">
        <v>1481</v>
      </c>
    </row>
    <row r="28" spans="2:17" x14ac:dyDescent="0.2">
      <c r="B28" s="15">
        <v>80</v>
      </c>
      <c r="C28" s="28">
        <v>1668</v>
      </c>
      <c r="F28" s="15">
        <v>80</v>
      </c>
      <c r="G28" s="28">
        <v>1624</v>
      </c>
      <c r="K28" s="15">
        <v>80</v>
      </c>
      <c r="L28" s="28">
        <v>757.13</v>
      </c>
      <c r="P28" s="15">
        <v>80</v>
      </c>
      <c r="Q28" s="60">
        <v>1258</v>
      </c>
    </row>
    <row r="29" spans="2:17" x14ac:dyDescent="0.2">
      <c r="B29" s="15">
        <v>85</v>
      </c>
      <c r="C29" s="28">
        <v>1451</v>
      </c>
      <c r="F29" s="15">
        <v>85</v>
      </c>
      <c r="G29" s="28"/>
      <c r="K29" s="15">
        <v>85</v>
      </c>
      <c r="L29" s="28">
        <v>657.67</v>
      </c>
      <c r="P29" s="15">
        <v>85</v>
      </c>
      <c r="Q29" s="60">
        <v>1072</v>
      </c>
    </row>
    <row r="30" spans="2:17" x14ac:dyDescent="0.2">
      <c r="B30" s="15">
        <v>90</v>
      </c>
      <c r="C30" s="28">
        <v>1266</v>
      </c>
      <c r="F30" s="15">
        <v>90</v>
      </c>
      <c r="G30" s="28"/>
      <c r="K30" s="15">
        <v>90</v>
      </c>
      <c r="L30" s="28">
        <v>573.30999999999995</v>
      </c>
      <c r="P30" s="15">
        <v>90</v>
      </c>
      <c r="Q30" s="60">
        <v>917.7</v>
      </c>
    </row>
    <row r="31" spans="2:17" x14ac:dyDescent="0.2">
      <c r="B31" s="15">
        <v>95</v>
      </c>
      <c r="C31" s="28">
        <v>1108</v>
      </c>
      <c r="F31" s="15">
        <v>95</v>
      </c>
      <c r="G31" s="28"/>
      <c r="K31" s="15">
        <v>95</v>
      </c>
      <c r="L31" s="28">
        <v>501.48</v>
      </c>
      <c r="P31" s="15">
        <v>95</v>
      </c>
      <c r="Q31" s="60">
        <v>788.5</v>
      </c>
    </row>
    <row r="32" spans="2:17" x14ac:dyDescent="0.2">
      <c r="B32" s="15">
        <v>100</v>
      </c>
      <c r="C32" s="28">
        <v>973.1</v>
      </c>
      <c r="F32" s="15">
        <v>100</v>
      </c>
      <c r="G32" s="28"/>
      <c r="K32" s="15">
        <v>100</v>
      </c>
      <c r="L32" s="28">
        <v>440.1</v>
      </c>
      <c r="P32" s="15">
        <v>100</v>
      </c>
      <c r="Q32" s="60">
        <v>680</v>
      </c>
    </row>
    <row r="33" spans="2:18" x14ac:dyDescent="0.2">
      <c r="B33" s="15">
        <v>105</v>
      </c>
      <c r="C33" s="28">
        <v>857.2</v>
      </c>
      <c r="F33" s="15">
        <v>105</v>
      </c>
      <c r="G33" s="28"/>
      <c r="K33" s="15">
        <v>105</v>
      </c>
      <c r="L33" s="28">
        <v>387.47</v>
      </c>
      <c r="P33" s="15">
        <v>105</v>
      </c>
      <c r="Q33" s="60">
        <v>588.6</v>
      </c>
    </row>
    <row r="34" spans="2:18" x14ac:dyDescent="0.2">
      <c r="B34" s="15">
        <v>110</v>
      </c>
      <c r="C34" s="28">
        <v>757.6</v>
      </c>
      <c r="F34" s="15">
        <v>110</v>
      </c>
      <c r="G34" s="28"/>
      <c r="K34" s="15">
        <v>110</v>
      </c>
      <c r="L34" s="28">
        <v>342.18</v>
      </c>
      <c r="P34" s="15">
        <v>110</v>
      </c>
      <c r="Q34" s="60">
        <v>511.2</v>
      </c>
    </row>
    <row r="35" spans="2:18" x14ac:dyDescent="0.2">
      <c r="K35" s="45">
        <v>115</v>
      </c>
      <c r="L35" s="28">
        <v>303.08999999999997</v>
      </c>
      <c r="P35" s="45">
        <v>115</v>
      </c>
      <c r="Q35" s="60">
        <v>445.4</v>
      </c>
    </row>
    <row r="36" spans="2:18" x14ac:dyDescent="0.2">
      <c r="K36" s="45">
        <v>120</v>
      </c>
      <c r="L36" s="28">
        <v>269.24</v>
      </c>
      <c r="P36" s="45">
        <v>120</v>
      </c>
      <c r="Q36" s="60">
        <v>389.3</v>
      </c>
    </row>
    <row r="37" spans="2:18" x14ac:dyDescent="0.2">
      <c r="K37" s="45">
        <v>125</v>
      </c>
      <c r="L37" s="28">
        <v>239.83</v>
      </c>
      <c r="P37" s="45">
        <v>125</v>
      </c>
      <c r="Q37" s="60">
        <v>341.7</v>
      </c>
    </row>
    <row r="38" spans="2:18" x14ac:dyDescent="0.2">
      <c r="K38" s="45">
        <v>130</v>
      </c>
      <c r="L38" s="28">
        <v>214.2</v>
      </c>
      <c r="P38" s="45">
        <v>130</v>
      </c>
      <c r="Q38" s="60">
        <v>300.89999999999998</v>
      </c>
    </row>
    <row r="39" spans="2:18" x14ac:dyDescent="0.2">
      <c r="K39" s="45">
        <v>135</v>
      </c>
      <c r="L39" s="28">
        <v>191.82</v>
      </c>
      <c r="P39" s="45">
        <v>135</v>
      </c>
      <c r="Q39" s="60">
        <v>265.39999999999998</v>
      </c>
    </row>
    <row r="40" spans="2:18" x14ac:dyDescent="0.2">
      <c r="P40" s="20"/>
      <c r="Q40" s="20"/>
      <c r="R40" s="20"/>
    </row>
    <row r="41" spans="2:18" x14ac:dyDescent="0.2">
      <c r="P41" s="20"/>
      <c r="Q41" s="20"/>
    </row>
  </sheetData>
  <phoneticPr fontId="1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292"/>
  <sheetViews>
    <sheetView zoomScale="85" workbookViewId="0">
      <selection activeCell="J6" sqref="J6"/>
    </sheetView>
  </sheetViews>
  <sheetFormatPr defaultRowHeight="12.75" x14ac:dyDescent="0.2"/>
  <cols>
    <col min="7" max="7" width="18.28515625" bestFit="1" customWidth="1"/>
  </cols>
  <sheetData>
    <row r="2" spans="3:10" x14ac:dyDescent="0.2">
      <c r="C2" s="15" t="s">
        <v>77</v>
      </c>
      <c r="D2" s="15"/>
      <c r="G2" s="15" t="s">
        <v>76</v>
      </c>
      <c r="J2" s="15" t="s">
        <v>62</v>
      </c>
    </row>
    <row r="3" spans="3:10" x14ac:dyDescent="0.2">
      <c r="C3" s="15">
        <v>0</v>
      </c>
      <c r="D3" s="15">
        <f>ROUND((10^(C3/96)),2)</f>
        <v>1</v>
      </c>
      <c r="F3" t="s">
        <v>58</v>
      </c>
      <c r="G3" s="15">
        <f>D3*1000</f>
        <v>1000</v>
      </c>
      <c r="J3" s="35">
        <v>0.1</v>
      </c>
    </row>
    <row r="4" spans="3:10" x14ac:dyDescent="0.2">
      <c r="C4" s="15">
        <v>1</v>
      </c>
      <c r="D4" s="15">
        <f t="shared" ref="D4:D67" si="0">ROUND((10^(C4/96)),2)</f>
        <v>1.02</v>
      </c>
      <c r="G4" s="15">
        <f t="shared" ref="G4:G67" si="1">D4*1000</f>
        <v>1020</v>
      </c>
      <c r="J4" s="35">
        <v>0.05</v>
      </c>
    </row>
    <row r="5" spans="3:10" x14ac:dyDescent="0.2">
      <c r="C5" s="15">
        <v>2</v>
      </c>
      <c r="D5" s="15">
        <f t="shared" si="0"/>
        <v>1.05</v>
      </c>
      <c r="G5" s="15">
        <f t="shared" si="1"/>
        <v>1050</v>
      </c>
      <c r="J5" s="35">
        <v>0.02</v>
      </c>
    </row>
    <row r="6" spans="3:10" x14ac:dyDescent="0.2">
      <c r="C6" s="15">
        <v>3</v>
      </c>
      <c r="D6" s="15">
        <f t="shared" si="0"/>
        <v>1.07</v>
      </c>
      <c r="G6" s="15">
        <f t="shared" si="1"/>
        <v>1070</v>
      </c>
      <c r="J6" s="35">
        <v>0.01</v>
      </c>
    </row>
    <row r="7" spans="3:10" x14ac:dyDescent="0.2">
      <c r="C7" s="15">
        <v>4</v>
      </c>
      <c r="D7" s="15">
        <f t="shared" si="0"/>
        <v>1.1000000000000001</v>
      </c>
      <c r="G7" s="15">
        <f t="shared" si="1"/>
        <v>1100</v>
      </c>
      <c r="J7" s="35">
        <v>5.0000000000000001E-3</v>
      </c>
    </row>
    <row r="8" spans="3:10" x14ac:dyDescent="0.2">
      <c r="C8" s="15">
        <v>5</v>
      </c>
      <c r="D8" s="15">
        <f t="shared" si="0"/>
        <v>1.1299999999999999</v>
      </c>
      <c r="G8" s="15">
        <f t="shared" si="1"/>
        <v>1130</v>
      </c>
      <c r="J8" s="35">
        <v>2E-3</v>
      </c>
    </row>
    <row r="9" spans="3:10" x14ac:dyDescent="0.2">
      <c r="C9" s="15">
        <v>6</v>
      </c>
      <c r="D9" s="15">
        <f t="shared" si="0"/>
        <v>1.1499999999999999</v>
      </c>
      <c r="G9" s="15">
        <f t="shared" si="1"/>
        <v>1150</v>
      </c>
      <c r="J9" s="35">
        <v>1E-3</v>
      </c>
    </row>
    <row r="10" spans="3:10" x14ac:dyDescent="0.2">
      <c r="C10" s="15">
        <v>7</v>
      </c>
      <c r="D10" s="15">
        <f t="shared" si="0"/>
        <v>1.18</v>
      </c>
      <c r="G10" s="15">
        <f t="shared" si="1"/>
        <v>1180</v>
      </c>
      <c r="J10" s="35">
        <v>5.0000000000000001E-4</v>
      </c>
    </row>
    <row r="11" spans="3:10" x14ac:dyDescent="0.2">
      <c r="C11" s="15">
        <v>8</v>
      </c>
      <c r="D11" s="15">
        <f t="shared" si="0"/>
        <v>1.21</v>
      </c>
      <c r="G11" s="15">
        <f t="shared" si="1"/>
        <v>1210</v>
      </c>
      <c r="J11" s="35">
        <v>2.0000000000000001E-4</v>
      </c>
    </row>
    <row r="12" spans="3:10" x14ac:dyDescent="0.2">
      <c r="C12" s="15">
        <v>9</v>
      </c>
      <c r="D12" s="15">
        <f t="shared" si="0"/>
        <v>1.24</v>
      </c>
      <c r="G12" s="15">
        <f t="shared" si="1"/>
        <v>1240</v>
      </c>
      <c r="J12" s="35">
        <v>1E-4</v>
      </c>
    </row>
    <row r="13" spans="3:10" x14ac:dyDescent="0.2">
      <c r="C13" s="15">
        <v>10</v>
      </c>
      <c r="D13" s="15">
        <f t="shared" si="0"/>
        <v>1.27</v>
      </c>
      <c r="G13" s="15">
        <f t="shared" si="1"/>
        <v>1270</v>
      </c>
    </row>
    <row r="14" spans="3:10" x14ac:dyDescent="0.2">
      <c r="C14" s="15">
        <v>11</v>
      </c>
      <c r="D14" s="15">
        <f t="shared" si="0"/>
        <v>1.3</v>
      </c>
      <c r="G14" s="15">
        <f t="shared" si="1"/>
        <v>1300</v>
      </c>
    </row>
    <row r="15" spans="3:10" x14ac:dyDescent="0.2">
      <c r="C15" s="15">
        <v>12</v>
      </c>
      <c r="D15" s="15">
        <f t="shared" si="0"/>
        <v>1.33</v>
      </c>
      <c r="G15" s="15">
        <f t="shared" si="1"/>
        <v>1330</v>
      </c>
    </row>
    <row r="16" spans="3:10" x14ac:dyDescent="0.2">
      <c r="C16" s="15">
        <v>13</v>
      </c>
      <c r="D16" s="15">
        <f t="shared" si="0"/>
        <v>1.37</v>
      </c>
      <c r="G16" s="15">
        <f t="shared" si="1"/>
        <v>1370</v>
      </c>
    </row>
    <row r="17" spans="3:7" x14ac:dyDescent="0.2">
      <c r="C17" s="15">
        <v>14</v>
      </c>
      <c r="D17" s="15">
        <f t="shared" si="0"/>
        <v>1.4</v>
      </c>
      <c r="G17" s="15">
        <f t="shared" si="1"/>
        <v>1400</v>
      </c>
    </row>
    <row r="18" spans="3:7" x14ac:dyDescent="0.2">
      <c r="C18" s="15">
        <v>15</v>
      </c>
      <c r="D18" s="15">
        <f t="shared" si="0"/>
        <v>1.43</v>
      </c>
      <c r="G18" s="15">
        <f t="shared" si="1"/>
        <v>1430</v>
      </c>
    </row>
    <row r="19" spans="3:7" x14ac:dyDescent="0.2">
      <c r="C19" s="15">
        <v>16</v>
      </c>
      <c r="D19" s="15">
        <f t="shared" si="0"/>
        <v>1.47</v>
      </c>
      <c r="G19" s="15">
        <f t="shared" si="1"/>
        <v>1470</v>
      </c>
    </row>
    <row r="20" spans="3:7" x14ac:dyDescent="0.2">
      <c r="C20" s="15">
        <v>17</v>
      </c>
      <c r="D20" s="15">
        <f t="shared" si="0"/>
        <v>1.5</v>
      </c>
      <c r="G20" s="15">
        <f t="shared" si="1"/>
        <v>1500</v>
      </c>
    </row>
    <row r="21" spans="3:7" x14ac:dyDescent="0.2">
      <c r="C21" s="15">
        <v>18</v>
      </c>
      <c r="D21" s="15">
        <f t="shared" si="0"/>
        <v>1.54</v>
      </c>
      <c r="G21" s="15">
        <f t="shared" si="1"/>
        <v>1540</v>
      </c>
    </row>
    <row r="22" spans="3:7" x14ac:dyDescent="0.2">
      <c r="C22" s="15">
        <v>19</v>
      </c>
      <c r="D22" s="15">
        <f t="shared" si="0"/>
        <v>1.58</v>
      </c>
      <c r="G22" s="15">
        <f t="shared" si="1"/>
        <v>1580</v>
      </c>
    </row>
    <row r="23" spans="3:7" x14ac:dyDescent="0.2">
      <c r="C23" s="15">
        <v>20</v>
      </c>
      <c r="D23" s="15">
        <f t="shared" si="0"/>
        <v>1.62</v>
      </c>
      <c r="G23" s="15">
        <f t="shared" si="1"/>
        <v>1620</v>
      </c>
    </row>
    <row r="24" spans="3:7" x14ac:dyDescent="0.2">
      <c r="C24" s="15">
        <v>21</v>
      </c>
      <c r="D24" s="15">
        <f t="shared" si="0"/>
        <v>1.65</v>
      </c>
      <c r="G24" s="15">
        <f t="shared" si="1"/>
        <v>1650</v>
      </c>
    </row>
    <row r="25" spans="3:7" x14ac:dyDescent="0.2">
      <c r="C25" s="15">
        <v>22</v>
      </c>
      <c r="D25" s="15">
        <f t="shared" si="0"/>
        <v>1.69</v>
      </c>
      <c r="G25" s="15">
        <f t="shared" si="1"/>
        <v>1690</v>
      </c>
    </row>
    <row r="26" spans="3:7" x14ac:dyDescent="0.2">
      <c r="C26" s="15">
        <v>23</v>
      </c>
      <c r="D26" s="15">
        <f t="shared" si="0"/>
        <v>1.74</v>
      </c>
      <c r="G26" s="15">
        <f t="shared" si="1"/>
        <v>1740</v>
      </c>
    </row>
    <row r="27" spans="3:7" x14ac:dyDescent="0.2">
      <c r="C27" s="15">
        <v>24</v>
      </c>
      <c r="D27" s="15">
        <f t="shared" si="0"/>
        <v>1.78</v>
      </c>
      <c r="G27" s="15">
        <f t="shared" si="1"/>
        <v>1780</v>
      </c>
    </row>
    <row r="28" spans="3:7" x14ac:dyDescent="0.2">
      <c r="C28" s="15">
        <v>25</v>
      </c>
      <c r="D28" s="15">
        <f t="shared" si="0"/>
        <v>1.82</v>
      </c>
      <c r="G28" s="15">
        <f t="shared" si="1"/>
        <v>1820</v>
      </c>
    </row>
    <row r="29" spans="3:7" x14ac:dyDescent="0.2">
      <c r="C29" s="15">
        <v>26</v>
      </c>
      <c r="D29" s="15">
        <f t="shared" si="0"/>
        <v>1.87</v>
      </c>
      <c r="G29" s="15">
        <f t="shared" si="1"/>
        <v>1870</v>
      </c>
    </row>
    <row r="30" spans="3:7" x14ac:dyDescent="0.2">
      <c r="C30" s="15">
        <v>27</v>
      </c>
      <c r="D30" s="15">
        <f t="shared" si="0"/>
        <v>1.91</v>
      </c>
      <c r="G30" s="15">
        <f t="shared" si="1"/>
        <v>1910</v>
      </c>
    </row>
    <row r="31" spans="3:7" x14ac:dyDescent="0.2">
      <c r="C31" s="15">
        <v>28</v>
      </c>
      <c r="D31" s="15">
        <f t="shared" si="0"/>
        <v>1.96</v>
      </c>
      <c r="G31" s="15">
        <f t="shared" si="1"/>
        <v>1960</v>
      </c>
    </row>
    <row r="32" spans="3:7" x14ac:dyDescent="0.2">
      <c r="C32" s="15">
        <v>29</v>
      </c>
      <c r="D32" s="15">
        <f t="shared" si="0"/>
        <v>2</v>
      </c>
      <c r="G32" s="15">
        <f t="shared" si="1"/>
        <v>2000</v>
      </c>
    </row>
    <row r="33" spans="3:7" x14ac:dyDescent="0.2">
      <c r="C33" s="15">
        <v>30</v>
      </c>
      <c r="D33" s="15">
        <f t="shared" si="0"/>
        <v>2.0499999999999998</v>
      </c>
      <c r="G33" s="15">
        <f t="shared" si="1"/>
        <v>2050</v>
      </c>
    </row>
    <row r="34" spans="3:7" x14ac:dyDescent="0.2">
      <c r="C34" s="15">
        <v>31</v>
      </c>
      <c r="D34" s="15">
        <f t="shared" si="0"/>
        <v>2.1</v>
      </c>
      <c r="G34" s="15">
        <f t="shared" si="1"/>
        <v>2100</v>
      </c>
    </row>
    <row r="35" spans="3:7" x14ac:dyDescent="0.2">
      <c r="C35" s="15">
        <v>32</v>
      </c>
      <c r="D35" s="15">
        <f t="shared" si="0"/>
        <v>2.15</v>
      </c>
      <c r="G35" s="15">
        <f t="shared" si="1"/>
        <v>2150</v>
      </c>
    </row>
    <row r="36" spans="3:7" x14ac:dyDescent="0.2">
      <c r="C36" s="15">
        <v>33</v>
      </c>
      <c r="D36" s="15">
        <f t="shared" si="0"/>
        <v>2.21</v>
      </c>
      <c r="G36" s="15">
        <f t="shared" si="1"/>
        <v>2210</v>
      </c>
    </row>
    <row r="37" spans="3:7" x14ac:dyDescent="0.2">
      <c r="C37" s="15">
        <v>34</v>
      </c>
      <c r="D37" s="15">
        <f t="shared" si="0"/>
        <v>2.2599999999999998</v>
      </c>
      <c r="G37" s="15">
        <f t="shared" si="1"/>
        <v>2260</v>
      </c>
    </row>
    <row r="38" spans="3:7" x14ac:dyDescent="0.2">
      <c r="C38" s="15">
        <v>35</v>
      </c>
      <c r="D38" s="15">
        <f t="shared" si="0"/>
        <v>2.3199999999999998</v>
      </c>
      <c r="G38" s="15">
        <f t="shared" si="1"/>
        <v>2320</v>
      </c>
    </row>
    <row r="39" spans="3:7" x14ac:dyDescent="0.2">
      <c r="C39" s="15">
        <v>36</v>
      </c>
      <c r="D39" s="15">
        <f t="shared" si="0"/>
        <v>2.37</v>
      </c>
      <c r="G39" s="15">
        <f t="shared" si="1"/>
        <v>2370</v>
      </c>
    </row>
    <row r="40" spans="3:7" x14ac:dyDescent="0.2">
      <c r="C40" s="15">
        <v>37</v>
      </c>
      <c r="D40" s="15">
        <f t="shared" si="0"/>
        <v>2.4300000000000002</v>
      </c>
      <c r="G40" s="15">
        <f t="shared" si="1"/>
        <v>2430</v>
      </c>
    </row>
    <row r="41" spans="3:7" x14ac:dyDescent="0.2">
      <c r="C41" s="15">
        <v>38</v>
      </c>
      <c r="D41" s="15">
        <f t="shared" si="0"/>
        <v>2.4900000000000002</v>
      </c>
      <c r="G41" s="15">
        <f t="shared" si="1"/>
        <v>2490</v>
      </c>
    </row>
    <row r="42" spans="3:7" x14ac:dyDescent="0.2">
      <c r="C42" s="15">
        <v>39</v>
      </c>
      <c r="D42" s="15">
        <f t="shared" si="0"/>
        <v>2.5499999999999998</v>
      </c>
      <c r="G42" s="15">
        <f t="shared" si="1"/>
        <v>2550</v>
      </c>
    </row>
    <row r="43" spans="3:7" x14ac:dyDescent="0.2">
      <c r="C43" s="15">
        <v>40</v>
      </c>
      <c r="D43" s="15">
        <f t="shared" si="0"/>
        <v>2.61</v>
      </c>
      <c r="G43" s="15">
        <f t="shared" si="1"/>
        <v>2610</v>
      </c>
    </row>
    <row r="44" spans="3:7" x14ac:dyDescent="0.2">
      <c r="C44" s="15">
        <v>41</v>
      </c>
      <c r="D44" s="15">
        <f t="shared" si="0"/>
        <v>2.67</v>
      </c>
      <c r="G44" s="15">
        <f t="shared" si="1"/>
        <v>2670</v>
      </c>
    </row>
    <row r="45" spans="3:7" x14ac:dyDescent="0.2">
      <c r="C45" s="15">
        <v>42</v>
      </c>
      <c r="D45" s="15">
        <f t="shared" si="0"/>
        <v>2.74</v>
      </c>
      <c r="G45" s="15">
        <f t="shared" si="1"/>
        <v>2740</v>
      </c>
    </row>
    <row r="46" spans="3:7" x14ac:dyDescent="0.2">
      <c r="C46" s="15">
        <v>43</v>
      </c>
      <c r="D46" s="15">
        <f t="shared" si="0"/>
        <v>2.8</v>
      </c>
      <c r="G46" s="15">
        <f t="shared" si="1"/>
        <v>2800</v>
      </c>
    </row>
    <row r="47" spans="3:7" x14ac:dyDescent="0.2">
      <c r="C47" s="15">
        <v>44</v>
      </c>
      <c r="D47" s="15">
        <f t="shared" si="0"/>
        <v>2.87</v>
      </c>
      <c r="G47" s="15">
        <f t="shared" si="1"/>
        <v>2870</v>
      </c>
    </row>
    <row r="48" spans="3:7" x14ac:dyDescent="0.2">
      <c r="C48" s="15">
        <v>45</v>
      </c>
      <c r="D48" s="15">
        <f t="shared" si="0"/>
        <v>2.94</v>
      </c>
      <c r="G48" s="15">
        <f t="shared" si="1"/>
        <v>2940</v>
      </c>
    </row>
    <row r="49" spans="3:7" x14ac:dyDescent="0.2">
      <c r="C49" s="15">
        <v>46</v>
      </c>
      <c r="D49" s="15">
        <f t="shared" si="0"/>
        <v>3.01</v>
      </c>
      <c r="G49" s="15">
        <f t="shared" si="1"/>
        <v>3010</v>
      </c>
    </row>
    <row r="50" spans="3:7" x14ac:dyDescent="0.2">
      <c r="C50" s="15">
        <v>47</v>
      </c>
      <c r="D50" s="15">
        <f t="shared" si="0"/>
        <v>3.09</v>
      </c>
      <c r="G50" s="15">
        <f t="shared" si="1"/>
        <v>3090</v>
      </c>
    </row>
    <row r="51" spans="3:7" x14ac:dyDescent="0.2">
      <c r="C51" s="15">
        <v>48</v>
      </c>
      <c r="D51" s="15">
        <f t="shared" si="0"/>
        <v>3.16</v>
      </c>
      <c r="G51" s="15">
        <f t="shared" si="1"/>
        <v>3160</v>
      </c>
    </row>
    <row r="52" spans="3:7" x14ac:dyDescent="0.2">
      <c r="C52" s="15">
        <v>49</v>
      </c>
      <c r="D52" s="15">
        <f t="shared" si="0"/>
        <v>3.24</v>
      </c>
      <c r="G52" s="15">
        <f t="shared" si="1"/>
        <v>3240</v>
      </c>
    </row>
    <row r="53" spans="3:7" x14ac:dyDescent="0.2">
      <c r="C53" s="15">
        <v>50</v>
      </c>
      <c r="D53" s="15">
        <f t="shared" si="0"/>
        <v>3.32</v>
      </c>
      <c r="G53" s="15">
        <f t="shared" si="1"/>
        <v>3320</v>
      </c>
    </row>
    <row r="54" spans="3:7" x14ac:dyDescent="0.2">
      <c r="C54" s="15">
        <v>51</v>
      </c>
      <c r="D54" s="15">
        <f t="shared" si="0"/>
        <v>3.4</v>
      </c>
      <c r="G54" s="15">
        <f t="shared" si="1"/>
        <v>3400</v>
      </c>
    </row>
    <row r="55" spans="3:7" x14ac:dyDescent="0.2">
      <c r="C55" s="15">
        <v>52</v>
      </c>
      <c r="D55" s="15">
        <f t="shared" si="0"/>
        <v>3.48</v>
      </c>
      <c r="G55" s="15">
        <f t="shared" si="1"/>
        <v>3480</v>
      </c>
    </row>
    <row r="56" spans="3:7" x14ac:dyDescent="0.2">
      <c r="C56" s="15">
        <v>53</v>
      </c>
      <c r="D56" s="15">
        <f t="shared" si="0"/>
        <v>3.57</v>
      </c>
      <c r="G56" s="15">
        <f t="shared" si="1"/>
        <v>3570</v>
      </c>
    </row>
    <row r="57" spans="3:7" x14ac:dyDescent="0.2">
      <c r="C57" s="15">
        <v>54</v>
      </c>
      <c r="D57" s="15">
        <f t="shared" si="0"/>
        <v>3.65</v>
      </c>
      <c r="G57" s="15">
        <f t="shared" si="1"/>
        <v>3650</v>
      </c>
    </row>
    <row r="58" spans="3:7" x14ac:dyDescent="0.2">
      <c r="C58" s="15">
        <v>55</v>
      </c>
      <c r="D58" s="15">
        <f t="shared" si="0"/>
        <v>3.74</v>
      </c>
      <c r="G58" s="15">
        <f t="shared" si="1"/>
        <v>3740</v>
      </c>
    </row>
    <row r="59" spans="3:7" x14ac:dyDescent="0.2">
      <c r="C59" s="15">
        <v>56</v>
      </c>
      <c r="D59" s="15">
        <f t="shared" si="0"/>
        <v>3.83</v>
      </c>
      <c r="G59" s="15">
        <f t="shared" si="1"/>
        <v>3830</v>
      </c>
    </row>
    <row r="60" spans="3:7" x14ac:dyDescent="0.2">
      <c r="C60" s="15">
        <v>57</v>
      </c>
      <c r="D60" s="15">
        <f t="shared" si="0"/>
        <v>3.92</v>
      </c>
      <c r="G60" s="15">
        <f t="shared" si="1"/>
        <v>3920</v>
      </c>
    </row>
    <row r="61" spans="3:7" x14ac:dyDescent="0.2">
      <c r="C61" s="15">
        <v>58</v>
      </c>
      <c r="D61" s="15">
        <f t="shared" si="0"/>
        <v>4.0199999999999996</v>
      </c>
      <c r="G61" s="15">
        <f t="shared" si="1"/>
        <v>4019.9999999999995</v>
      </c>
    </row>
    <row r="62" spans="3:7" x14ac:dyDescent="0.2">
      <c r="C62" s="15">
        <v>59</v>
      </c>
      <c r="D62" s="15">
        <f t="shared" si="0"/>
        <v>4.12</v>
      </c>
      <c r="G62" s="15">
        <f t="shared" si="1"/>
        <v>4120</v>
      </c>
    </row>
    <row r="63" spans="3:7" x14ac:dyDescent="0.2">
      <c r="C63" s="15">
        <v>60</v>
      </c>
      <c r="D63" s="15">
        <f t="shared" si="0"/>
        <v>4.22</v>
      </c>
      <c r="G63" s="15">
        <f t="shared" si="1"/>
        <v>4220</v>
      </c>
    </row>
    <row r="64" spans="3:7" x14ac:dyDescent="0.2">
      <c r="C64" s="15">
        <v>61</v>
      </c>
      <c r="D64" s="15">
        <f t="shared" si="0"/>
        <v>4.32</v>
      </c>
      <c r="G64" s="15">
        <f t="shared" si="1"/>
        <v>4320</v>
      </c>
    </row>
    <row r="65" spans="3:7" x14ac:dyDescent="0.2">
      <c r="C65" s="15">
        <v>62</v>
      </c>
      <c r="D65" s="15">
        <f t="shared" si="0"/>
        <v>4.42</v>
      </c>
      <c r="G65" s="15">
        <f t="shared" si="1"/>
        <v>4420</v>
      </c>
    </row>
    <row r="66" spans="3:7" x14ac:dyDescent="0.2">
      <c r="C66" s="15">
        <v>63</v>
      </c>
      <c r="D66" s="15">
        <f t="shared" si="0"/>
        <v>4.53</v>
      </c>
      <c r="G66" s="15">
        <f t="shared" si="1"/>
        <v>4530</v>
      </c>
    </row>
    <row r="67" spans="3:7" x14ac:dyDescent="0.2">
      <c r="C67" s="15">
        <v>64</v>
      </c>
      <c r="D67" s="15">
        <f t="shared" si="0"/>
        <v>4.6399999999999997</v>
      </c>
      <c r="G67" s="15">
        <f t="shared" si="1"/>
        <v>4640</v>
      </c>
    </row>
    <row r="68" spans="3:7" x14ac:dyDescent="0.2">
      <c r="C68" s="15">
        <v>65</v>
      </c>
      <c r="D68" s="15">
        <f t="shared" ref="D68:D98" si="2">ROUND((10^(C68/96)),2)</f>
        <v>4.75</v>
      </c>
      <c r="G68" s="15">
        <f t="shared" ref="G68:G98" si="3">D68*1000</f>
        <v>4750</v>
      </c>
    </row>
    <row r="69" spans="3:7" x14ac:dyDescent="0.2">
      <c r="C69" s="15">
        <v>66</v>
      </c>
      <c r="D69" s="15">
        <f t="shared" si="2"/>
        <v>4.87</v>
      </c>
      <c r="G69" s="15">
        <f t="shared" si="3"/>
        <v>4870</v>
      </c>
    </row>
    <row r="70" spans="3:7" x14ac:dyDescent="0.2">
      <c r="C70" s="15">
        <v>67</v>
      </c>
      <c r="D70" s="15">
        <f t="shared" si="2"/>
        <v>4.99</v>
      </c>
      <c r="G70" s="15">
        <f t="shared" si="3"/>
        <v>4990</v>
      </c>
    </row>
    <row r="71" spans="3:7" x14ac:dyDescent="0.2">
      <c r="C71" s="15">
        <v>68</v>
      </c>
      <c r="D71" s="15">
        <f t="shared" si="2"/>
        <v>5.1100000000000003</v>
      </c>
      <c r="G71" s="15">
        <f t="shared" si="3"/>
        <v>5110</v>
      </c>
    </row>
    <row r="72" spans="3:7" x14ac:dyDescent="0.2">
      <c r="C72" s="15">
        <v>69</v>
      </c>
      <c r="D72" s="15">
        <f t="shared" si="2"/>
        <v>5.23</v>
      </c>
      <c r="G72" s="15">
        <f t="shared" si="3"/>
        <v>5230</v>
      </c>
    </row>
    <row r="73" spans="3:7" x14ac:dyDescent="0.2">
      <c r="C73" s="15">
        <v>70</v>
      </c>
      <c r="D73" s="15">
        <f t="shared" si="2"/>
        <v>5.36</v>
      </c>
      <c r="G73" s="15">
        <f t="shared" si="3"/>
        <v>5360</v>
      </c>
    </row>
    <row r="74" spans="3:7" x14ac:dyDescent="0.2">
      <c r="C74" s="15">
        <v>71</v>
      </c>
      <c r="D74" s="15">
        <f t="shared" si="2"/>
        <v>5.49</v>
      </c>
      <c r="G74" s="15">
        <f t="shared" si="3"/>
        <v>5490</v>
      </c>
    </row>
    <row r="75" spans="3:7" x14ac:dyDescent="0.2">
      <c r="C75" s="15">
        <v>72</v>
      </c>
      <c r="D75" s="15">
        <f t="shared" si="2"/>
        <v>5.62</v>
      </c>
      <c r="G75" s="15">
        <f t="shared" si="3"/>
        <v>5620</v>
      </c>
    </row>
    <row r="76" spans="3:7" x14ac:dyDescent="0.2">
      <c r="C76" s="15">
        <v>73</v>
      </c>
      <c r="D76" s="15">
        <f t="shared" si="2"/>
        <v>5.76</v>
      </c>
      <c r="G76" s="15">
        <f t="shared" si="3"/>
        <v>5760</v>
      </c>
    </row>
    <row r="77" spans="3:7" x14ac:dyDescent="0.2">
      <c r="C77" s="15">
        <v>74</v>
      </c>
      <c r="D77" s="15">
        <f t="shared" si="2"/>
        <v>5.9</v>
      </c>
      <c r="G77" s="15">
        <f t="shared" si="3"/>
        <v>5900</v>
      </c>
    </row>
    <row r="78" spans="3:7" x14ac:dyDescent="0.2">
      <c r="C78" s="15">
        <v>75</v>
      </c>
      <c r="D78" s="15">
        <f t="shared" si="2"/>
        <v>6.04</v>
      </c>
      <c r="G78" s="15">
        <f t="shared" si="3"/>
        <v>6040</v>
      </c>
    </row>
    <row r="79" spans="3:7" x14ac:dyDescent="0.2">
      <c r="C79" s="15">
        <v>76</v>
      </c>
      <c r="D79" s="15">
        <f t="shared" si="2"/>
        <v>6.19</v>
      </c>
      <c r="G79" s="15">
        <f t="shared" si="3"/>
        <v>6190</v>
      </c>
    </row>
    <row r="80" spans="3:7" x14ac:dyDescent="0.2">
      <c r="C80" s="15">
        <v>77</v>
      </c>
      <c r="D80" s="15">
        <f t="shared" si="2"/>
        <v>6.34</v>
      </c>
      <c r="G80" s="15">
        <f t="shared" si="3"/>
        <v>6340</v>
      </c>
    </row>
    <row r="81" spans="3:7" x14ac:dyDescent="0.2">
      <c r="C81" s="15">
        <v>78</v>
      </c>
      <c r="D81" s="15">
        <f t="shared" si="2"/>
        <v>6.49</v>
      </c>
      <c r="G81" s="15">
        <f t="shared" si="3"/>
        <v>6490</v>
      </c>
    </row>
    <row r="82" spans="3:7" x14ac:dyDescent="0.2">
      <c r="C82" s="15">
        <v>79</v>
      </c>
      <c r="D82" s="15">
        <f t="shared" si="2"/>
        <v>6.65</v>
      </c>
      <c r="G82" s="15">
        <f t="shared" si="3"/>
        <v>6650</v>
      </c>
    </row>
    <row r="83" spans="3:7" x14ac:dyDescent="0.2">
      <c r="C83" s="15">
        <v>80</v>
      </c>
      <c r="D83" s="15">
        <f t="shared" si="2"/>
        <v>6.81</v>
      </c>
      <c r="G83" s="15">
        <f t="shared" si="3"/>
        <v>6810</v>
      </c>
    </row>
    <row r="84" spans="3:7" x14ac:dyDescent="0.2">
      <c r="C84" s="15">
        <v>81</v>
      </c>
      <c r="D84" s="15">
        <f t="shared" si="2"/>
        <v>6.98</v>
      </c>
      <c r="G84" s="15">
        <f t="shared" si="3"/>
        <v>6980</v>
      </c>
    </row>
    <row r="85" spans="3:7" x14ac:dyDescent="0.2">
      <c r="C85" s="15">
        <v>82</v>
      </c>
      <c r="D85" s="15">
        <f t="shared" si="2"/>
        <v>7.15</v>
      </c>
      <c r="G85" s="15">
        <f t="shared" si="3"/>
        <v>7150</v>
      </c>
    </row>
    <row r="86" spans="3:7" x14ac:dyDescent="0.2">
      <c r="C86" s="15">
        <v>83</v>
      </c>
      <c r="D86" s="15">
        <f t="shared" si="2"/>
        <v>7.32</v>
      </c>
      <c r="G86" s="15">
        <f t="shared" si="3"/>
        <v>7320</v>
      </c>
    </row>
    <row r="87" spans="3:7" x14ac:dyDescent="0.2">
      <c r="C87" s="15">
        <v>84</v>
      </c>
      <c r="D87" s="15">
        <f t="shared" si="2"/>
        <v>7.5</v>
      </c>
      <c r="G87" s="15">
        <f t="shared" si="3"/>
        <v>7500</v>
      </c>
    </row>
    <row r="88" spans="3:7" x14ac:dyDescent="0.2">
      <c r="C88" s="15">
        <v>85</v>
      </c>
      <c r="D88" s="15">
        <f t="shared" si="2"/>
        <v>7.68</v>
      </c>
      <c r="G88" s="15">
        <f t="shared" si="3"/>
        <v>7680</v>
      </c>
    </row>
    <row r="89" spans="3:7" x14ac:dyDescent="0.2">
      <c r="C89" s="15">
        <v>86</v>
      </c>
      <c r="D89" s="15">
        <f t="shared" si="2"/>
        <v>7.87</v>
      </c>
      <c r="G89" s="15">
        <f t="shared" si="3"/>
        <v>7870</v>
      </c>
    </row>
    <row r="90" spans="3:7" x14ac:dyDescent="0.2">
      <c r="C90" s="15">
        <v>87</v>
      </c>
      <c r="D90" s="15">
        <f t="shared" si="2"/>
        <v>8.06</v>
      </c>
      <c r="G90" s="15">
        <f t="shared" si="3"/>
        <v>8060.0000000000009</v>
      </c>
    </row>
    <row r="91" spans="3:7" x14ac:dyDescent="0.2">
      <c r="C91" s="15">
        <v>88</v>
      </c>
      <c r="D91" s="15">
        <f t="shared" si="2"/>
        <v>8.25</v>
      </c>
      <c r="G91" s="15">
        <f t="shared" si="3"/>
        <v>8250</v>
      </c>
    </row>
    <row r="92" spans="3:7" x14ac:dyDescent="0.2">
      <c r="C92" s="15">
        <v>89</v>
      </c>
      <c r="D92" s="15">
        <f t="shared" si="2"/>
        <v>8.4499999999999993</v>
      </c>
      <c r="G92" s="15">
        <f t="shared" si="3"/>
        <v>8450</v>
      </c>
    </row>
    <row r="93" spans="3:7" x14ac:dyDescent="0.2">
      <c r="C93" s="15">
        <v>90</v>
      </c>
      <c r="D93" s="15">
        <f t="shared" si="2"/>
        <v>8.66</v>
      </c>
      <c r="G93" s="15">
        <f t="shared" si="3"/>
        <v>8660</v>
      </c>
    </row>
    <row r="94" spans="3:7" x14ac:dyDescent="0.2">
      <c r="C94" s="15">
        <v>91</v>
      </c>
      <c r="D94" s="15">
        <f t="shared" si="2"/>
        <v>8.8699999999999992</v>
      </c>
      <c r="G94" s="15">
        <f t="shared" si="3"/>
        <v>8870</v>
      </c>
    </row>
    <row r="95" spans="3:7" x14ac:dyDescent="0.2">
      <c r="C95" s="15">
        <v>92</v>
      </c>
      <c r="D95" s="15">
        <f t="shared" si="2"/>
        <v>9.09</v>
      </c>
      <c r="G95" s="15">
        <f t="shared" si="3"/>
        <v>9090</v>
      </c>
    </row>
    <row r="96" spans="3:7" x14ac:dyDescent="0.2">
      <c r="C96" s="15">
        <v>93</v>
      </c>
      <c r="D96" s="15">
        <f t="shared" si="2"/>
        <v>9.31</v>
      </c>
      <c r="G96" s="15">
        <f t="shared" si="3"/>
        <v>9310</v>
      </c>
    </row>
    <row r="97" spans="3:7" x14ac:dyDescent="0.2">
      <c r="C97" s="15">
        <v>94</v>
      </c>
      <c r="D97" s="15">
        <f t="shared" si="2"/>
        <v>9.5299999999999994</v>
      </c>
      <c r="G97" s="15">
        <f t="shared" si="3"/>
        <v>9530</v>
      </c>
    </row>
    <row r="98" spans="3:7" x14ac:dyDescent="0.2">
      <c r="C98" s="15">
        <v>95</v>
      </c>
      <c r="D98" s="15">
        <f t="shared" si="2"/>
        <v>9.76</v>
      </c>
      <c r="G98" s="15">
        <f t="shared" si="3"/>
        <v>9760</v>
      </c>
    </row>
    <row r="99" spans="3:7" x14ac:dyDescent="0.2">
      <c r="F99" t="s">
        <v>59</v>
      </c>
      <c r="G99" s="15">
        <f>10000*D3</f>
        <v>10000</v>
      </c>
    </row>
    <row r="100" spans="3:7" x14ac:dyDescent="0.2">
      <c r="G100" s="15">
        <f t="shared" ref="G100:G163" si="4">10000*D4</f>
        <v>10200</v>
      </c>
    </row>
    <row r="101" spans="3:7" x14ac:dyDescent="0.2">
      <c r="G101" s="15">
        <f t="shared" si="4"/>
        <v>10500</v>
      </c>
    </row>
    <row r="102" spans="3:7" x14ac:dyDescent="0.2">
      <c r="G102" s="15">
        <f t="shared" si="4"/>
        <v>10700</v>
      </c>
    </row>
    <row r="103" spans="3:7" x14ac:dyDescent="0.2">
      <c r="G103" s="15">
        <f t="shared" si="4"/>
        <v>11000</v>
      </c>
    </row>
    <row r="104" spans="3:7" x14ac:dyDescent="0.2">
      <c r="G104" s="15">
        <f t="shared" si="4"/>
        <v>11299.999999999998</v>
      </c>
    </row>
    <row r="105" spans="3:7" x14ac:dyDescent="0.2">
      <c r="G105" s="15">
        <f t="shared" si="4"/>
        <v>11500</v>
      </c>
    </row>
    <row r="106" spans="3:7" x14ac:dyDescent="0.2">
      <c r="G106" s="15">
        <f t="shared" si="4"/>
        <v>11800</v>
      </c>
    </row>
    <row r="107" spans="3:7" x14ac:dyDescent="0.2">
      <c r="G107" s="15">
        <f t="shared" si="4"/>
        <v>12100</v>
      </c>
    </row>
    <row r="108" spans="3:7" x14ac:dyDescent="0.2">
      <c r="G108" s="15">
        <f t="shared" si="4"/>
        <v>12400</v>
      </c>
    </row>
    <row r="109" spans="3:7" x14ac:dyDescent="0.2">
      <c r="G109" s="15">
        <f t="shared" si="4"/>
        <v>12700</v>
      </c>
    </row>
    <row r="110" spans="3:7" x14ac:dyDescent="0.2">
      <c r="G110" s="15">
        <f t="shared" si="4"/>
        <v>13000</v>
      </c>
    </row>
    <row r="111" spans="3:7" x14ac:dyDescent="0.2">
      <c r="G111" s="15">
        <f t="shared" si="4"/>
        <v>13300</v>
      </c>
    </row>
    <row r="112" spans="3:7" x14ac:dyDescent="0.2">
      <c r="G112" s="15">
        <f t="shared" si="4"/>
        <v>13700.000000000002</v>
      </c>
    </row>
    <row r="113" spans="7:7" x14ac:dyDescent="0.2">
      <c r="G113" s="15">
        <f t="shared" si="4"/>
        <v>14000</v>
      </c>
    </row>
    <row r="114" spans="7:7" x14ac:dyDescent="0.2">
      <c r="G114" s="15">
        <f t="shared" si="4"/>
        <v>14300</v>
      </c>
    </row>
    <row r="115" spans="7:7" x14ac:dyDescent="0.2">
      <c r="G115" s="15">
        <f t="shared" si="4"/>
        <v>14700</v>
      </c>
    </row>
    <row r="116" spans="7:7" x14ac:dyDescent="0.2">
      <c r="G116" s="15">
        <f t="shared" si="4"/>
        <v>15000</v>
      </c>
    </row>
    <row r="117" spans="7:7" x14ac:dyDescent="0.2">
      <c r="G117" s="15">
        <f t="shared" si="4"/>
        <v>15400</v>
      </c>
    </row>
    <row r="118" spans="7:7" x14ac:dyDescent="0.2">
      <c r="G118" s="15">
        <f t="shared" si="4"/>
        <v>15800</v>
      </c>
    </row>
    <row r="119" spans="7:7" x14ac:dyDescent="0.2">
      <c r="G119" s="15">
        <f t="shared" si="4"/>
        <v>16200.000000000002</v>
      </c>
    </row>
    <row r="120" spans="7:7" x14ac:dyDescent="0.2">
      <c r="G120" s="15">
        <f t="shared" si="4"/>
        <v>16500</v>
      </c>
    </row>
    <row r="121" spans="7:7" x14ac:dyDescent="0.2">
      <c r="G121" s="15">
        <f t="shared" si="4"/>
        <v>16900</v>
      </c>
    </row>
    <row r="122" spans="7:7" x14ac:dyDescent="0.2">
      <c r="G122" s="15">
        <f t="shared" si="4"/>
        <v>17400</v>
      </c>
    </row>
    <row r="123" spans="7:7" x14ac:dyDescent="0.2">
      <c r="G123" s="15">
        <f t="shared" si="4"/>
        <v>17800</v>
      </c>
    </row>
    <row r="124" spans="7:7" x14ac:dyDescent="0.2">
      <c r="G124" s="15">
        <f t="shared" si="4"/>
        <v>18200</v>
      </c>
    </row>
    <row r="125" spans="7:7" x14ac:dyDescent="0.2">
      <c r="G125" s="15">
        <f t="shared" si="4"/>
        <v>18700</v>
      </c>
    </row>
    <row r="126" spans="7:7" x14ac:dyDescent="0.2">
      <c r="G126" s="15">
        <f t="shared" si="4"/>
        <v>19100</v>
      </c>
    </row>
    <row r="127" spans="7:7" x14ac:dyDescent="0.2">
      <c r="G127" s="15">
        <f t="shared" si="4"/>
        <v>19600</v>
      </c>
    </row>
    <row r="128" spans="7:7" x14ac:dyDescent="0.2">
      <c r="G128" s="15">
        <f t="shared" si="4"/>
        <v>20000</v>
      </c>
    </row>
    <row r="129" spans="7:7" x14ac:dyDescent="0.2">
      <c r="G129" s="15">
        <f t="shared" si="4"/>
        <v>20500</v>
      </c>
    </row>
    <row r="130" spans="7:7" x14ac:dyDescent="0.2">
      <c r="G130" s="15">
        <f t="shared" si="4"/>
        <v>21000</v>
      </c>
    </row>
    <row r="131" spans="7:7" x14ac:dyDescent="0.2">
      <c r="G131" s="15">
        <f t="shared" si="4"/>
        <v>21500</v>
      </c>
    </row>
    <row r="132" spans="7:7" x14ac:dyDescent="0.2">
      <c r="G132" s="15">
        <f t="shared" si="4"/>
        <v>22100</v>
      </c>
    </row>
    <row r="133" spans="7:7" x14ac:dyDescent="0.2">
      <c r="G133" s="15">
        <f t="shared" si="4"/>
        <v>22599.999999999996</v>
      </c>
    </row>
    <row r="134" spans="7:7" x14ac:dyDescent="0.2">
      <c r="G134" s="15">
        <f t="shared" si="4"/>
        <v>23200</v>
      </c>
    </row>
    <row r="135" spans="7:7" x14ac:dyDescent="0.2">
      <c r="G135" s="15">
        <f t="shared" si="4"/>
        <v>23700</v>
      </c>
    </row>
    <row r="136" spans="7:7" x14ac:dyDescent="0.2">
      <c r="G136" s="15">
        <f t="shared" si="4"/>
        <v>24300</v>
      </c>
    </row>
    <row r="137" spans="7:7" x14ac:dyDescent="0.2">
      <c r="G137" s="15">
        <f t="shared" si="4"/>
        <v>24900.000000000004</v>
      </c>
    </row>
    <row r="138" spans="7:7" x14ac:dyDescent="0.2">
      <c r="G138" s="15">
        <f t="shared" si="4"/>
        <v>25500</v>
      </c>
    </row>
    <row r="139" spans="7:7" x14ac:dyDescent="0.2">
      <c r="G139" s="15">
        <f t="shared" si="4"/>
        <v>26100</v>
      </c>
    </row>
    <row r="140" spans="7:7" x14ac:dyDescent="0.2">
      <c r="G140" s="15">
        <f t="shared" si="4"/>
        <v>26700</v>
      </c>
    </row>
    <row r="141" spans="7:7" x14ac:dyDescent="0.2">
      <c r="G141" s="15">
        <f t="shared" si="4"/>
        <v>27400.000000000004</v>
      </c>
    </row>
    <row r="142" spans="7:7" x14ac:dyDescent="0.2">
      <c r="G142" s="15">
        <f t="shared" si="4"/>
        <v>28000</v>
      </c>
    </row>
    <row r="143" spans="7:7" x14ac:dyDescent="0.2">
      <c r="G143" s="15">
        <f t="shared" si="4"/>
        <v>28700</v>
      </c>
    </row>
    <row r="144" spans="7:7" x14ac:dyDescent="0.2">
      <c r="G144" s="15">
        <f t="shared" si="4"/>
        <v>29400</v>
      </c>
    </row>
    <row r="145" spans="7:7" x14ac:dyDescent="0.2">
      <c r="G145" s="15">
        <f t="shared" si="4"/>
        <v>30099.999999999996</v>
      </c>
    </row>
    <row r="146" spans="7:7" x14ac:dyDescent="0.2">
      <c r="G146" s="15">
        <f t="shared" si="4"/>
        <v>30900</v>
      </c>
    </row>
    <row r="147" spans="7:7" x14ac:dyDescent="0.2">
      <c r="G147" s="15">
        <f t="shared" si="4"/>
        <v>31600</v>
      </c>
    </row>
    <row r="148" spans="7:7" x14ac:dyDescent="0.2">
      <c r="G148" s="15">
        <f t="shared" si="4"/>
        <v>32400.000000000004</v>
      </c>
    </row>
    <row r="149" spans="7:7" x14ac:dyDescent="0.2">
      <c r="G149" s="15">
        <f t="shared" si="4"/>
        <v>33200</v>
      </c>
    </row>
    <row r="150" spans="7:7" x14ac:dyDescent="0.2">
      <c r="G150" s="15">
        <f t="shared" si="4"/>
        <v>34000</v>
      </c>
    </row>
    <row r="151" spans="7:7" x14ac:dyDescent="0.2">
      <c r="G151" s="15">
        <f t="shared" si="4"/>
        <v>34800</v>
      </c>
    </row>
    <row r="152" spans="7:7" x14ac:dyDescent="0.2">
      <c r="G152" s="15">
        <f t="shared" si="4"/>
        <v>35700</v>
      </c>
    </row>
    <row r="153" spans="7:7" x14ac:dyDescent="0.2">
      <c r="G153" s="15">
        <f t="shared" si="4"/>
        <v>36500</v>
      </c>
    </row>
    <row r="154" spans="7:7" x14ac:dyDescent="0.2">
      <c r="G154" s="15">
        <f t="shared" si="4"/>
        <v>37400</v>
      </c>
    </row>
    <row r="155" spans="7:7" x14ac:dyDescent="0.2">
      <c r="G155" s="15">
        <f t="shared" si="4"/>
        <v>38300</v>
      </c>
    </row>
    <row r="156" spans="7:7" x14ac:dyDescent="0.2">
      <c r="G156" s="15">
        <f t="shared" si="4"/>
        <v>39200</v>
      </c>
    </row>
    <row r="157" spans="7:7" x14ac:dyDescent="0.2">
      <c r="G157" s="15">
        <f t="shared" si="4"/>
        <v>40199.999999999993</v>
      </c>
    </row>
    <row r="158" spans="7:7" x14ac:dyDescent="0.2">
      <c r="G158" s="15">
        <f t="shared" si="4"/>
        <v>41200</v>
      </c>
    </row>
    <row r="159" spans="7:7" x14ac:dyDescent="0.2">
      <c r="G159" s="15">
        <f t="shared" si="4"/>
        <v>42200</v>
      </c>
    </row>
    <row r="160" spans="7:7" x14ac:dyDescent="0.2">
      <c r="G160" s="15">
        <f t="shared" si="4"/>
        <v>43200</v>
      </c>
    </row>
    <row r="161" spans="7:7" x14ac:dyDescent="0.2">
      <c r="G161" s="15">
        <f t="shared" si="4"/>
        <v>44200</v>
      </c>
    </row>
    <row r="162" spans="7:7" x14ac:dyDescent="0.2">
      <c r="G162" s="15">
        <f t="shared" si="4"/>
        <v>45300</v>
      </c>
    </row>
    <row r="163" spans="7:7" x14ac:dyDescent="0.2">
      <c r="G163" s="15">
        <f t="shared" si="4"/>
        <v>46400</v>
      </c>
    </row>
    <row r="164" spans="7:7" x14ac:dyDescent="0.2">
      <c r="G164" s="15">
        <f>10000*D68</f>
        <v>47500</v>
      </c>
    </row>
    <row r="165" spans="7:7" x14ac:dyDescent="0.2">
      <c r="G165" s="15">
        <f>10000*D69</f>
        <v>48700</v>
      </c>
    </row>
    <row r="166" spans="7:7" x14ac:dyDescent="0.2">
      <c r="G166" s="15">
        <f>10000*D70</f>
        <v>49900</v>
      </c>
    </row>
    <row r="167" spans="7:7" x14ac:dyDescent="0.2">
      <c r="G167" s="15">
        <f>10000*D71</f>
        <v>51100</v>
      </c>
    </row>
    <row r="168" spans="7:7" x14ac:dyDescent="0.2">
      <c r="G168" s="15">
        <f>10000*D72</f>
        <v>52300.000000000007</v>
      </c>
    </row>
    <row r="169" spans="7:7" x14ac:dyDescent="0.2">
      <c r="G169" s="15">
        <f t="shared" ref="G169:G194" si="5">10000*D73</f>
        <v>53600</v>
      </c>
    </row>
    <row r="170" spans="7:7" x14ac:dyDescent="0.2">
      <c r="G170" s="15">
        <f t="shared" si="5"/>
        <v>54900</v>
      </c>
    </row>
    <row r="171" spans="7:7" x14ac:dyDescent="0.2">
      <c r="G171" s="15">
        <f t="shared" si="5"/>
        <v>56200</v>
      </c>
    </row>
    <row r="172" spans="7:7" x14ac:dyDescent="0.2">
      <c r="G172" s="15">
        <f t="shared" si="5"/>
        <v>57600</v>
      </c>
    </row>
    <row r="173" spans="7:7" x14ac:dyDescent="0.2">
      <c r="G173" s="15">
        <f t="shared" si="5"/>
        <v>59000</v>
      </c>
    </row>
    <row r="174" spans="7:7" x14ac:dyDescent="0.2">
      <c r="G174" s="15">
        <f t="shared" si="5"/>
        <v>60400</v>
      </c>
    </row>
    <row r="175" spans="7:7" x14ac:dyDescent="0.2">
      <c r="G175" s="15">
        <f t="shared" si="5"/>
        <v>61900.000000000007</v>
      </c>
    </row>
    <row r="176" spans="7:7" x14ac:dyDescent="0.2">
      <c r="G176" s="15">
        <f t="shared" si="5"/>
        <v>63400</v>
      </c>
    </row>
    <row r="177" spans="7:7" x14ac:dyDescent="0.2">
      <c r="G177" s="15">
        <f t="shared" si="5"/>
        <v>64900</v>
      </c>
    </row>
    <row r="178" spans="7:7" x14ac:dyDescent="0.2">
      <c r="G178" s="15">
        <f t="shared" si="5"/>
        <v>66500</v>
      </c>
    </row>
    <row r="179" spans="7:7" x14ac:dyDescent="0.2">
      <c r="G179" s="15">
        <f t="shared" si="5"/>
        <v>68100</v>
      </c>
    </row>
    <row r="180" spans="7:7" x14ac:dyDescent="0.2">
      <c r="G180" s="15">
        <f t="shared" si="5"/>
        <v>69800</v>
      </c>
    </row>
    <row r="181" spans="7:7" x14ac:dyDescent="0.2">
      <c r="G181" s="15">
        <f t="shared" si="5"/>
        <v>71500</v>
      </c>
    </row>
    <row r="182" spans="7:7" x14ac:dyDescent="0.2">
      <c r="G182" s="15">
        <f t="shared" si="5"/>
        <v>73200</v>
      </c>
    </row>
    <row r="183" spans="7:7" x14ac:dyDescent="0.2">
      <c r="G183" s="15">
        <f t="shared" si="5"/>
        <v>75000</v>
      </c>
    </row>
    <row r="184" spans="7:7" x14ac:dyDescent="0.2">
      <c r="G184" s="15">
        <f t="shared" si="5"/>
        <v>76800</v>
      </c>
    </row>
    <row r="185" spans="7:7" x14ac:dyDescent="0.2">
      <c r="G185" s="15">
        <f t="shared" si="5"/>
        <v>78700</v>
      </c>
    </row>
    <row r="186" spans="7:7" x14ac:dyDescent="0.2">
      <c r="G186" s="15">
        <f t="shared" si="5"/>
        <v>80600</v>
      </c>
    </row>
    <row r="187" spans="7:7" x14ac:dyDescent="0.2">
      <c r="G187" s="15">
        <f t="shared" si="5"/>
        <v>82500</v>
      </c>
    </row>
    <row r="188" spans="7:7" x14ac:dyDescent="0.2">
      <c r="G188" s="15">
        <f t="shared" si="5"/>
        <v>84500</v>
      </c>
    </row>
    <row r="189" spans="7:7" x14ac:dyDescent="0.2">
      <c r="G189" s="15">
        <f t="shared" si="5"/>
        <v>86600</v>
      </c>
    </row>
    <row r="190" spans="7:7" x14ac:dyDescent="0.2">
      <c r="G190" s="15">
        <f t="shared" si="5"/>
        <v>88699.999999999985</v>
      </c>
    </row>
    <row r="191" spans="7:7" x14ac:dyDescent="0.2">
      <c r="G191" s="15">
        <f t="shared" si="5"/>
        <v>90900</v>
      </c>
    </row>
    <row r="192" spans="7:7" x14ac:dyDescent="0.2">
      <c r="G192" s="15">
        <f t="shared" si="5"/>
        <v>93100</v>
      </c>
    </row>
    <row r="193" spans="6:7" x14ac:dyDescent="0.2">
      <c r="G193" s="15">
        <f t="shared" si="5"/>
        <v>95300</v>
      </c>
    </row>
    <row r="194" spans="6:7" x14ac:dyDescent="0.2">
      <c r="G194" s="15">
        <f t="shared" si="5"/>
        <v>97600</v>
      </c>
    </row>
    <row r="195" spans="6:7" x14ac:dyDescent="0.2">
      <c r="F195" t="s">
        <v>60</v>
      </c>
      <c r="G195" s="15">
        <f>100000*D3</f>
        <v>100000</v>
      </c>
    </row>
    <row r="196" spans="6:7" x14ac:dyDescent="0.2">
      <c r="G196" s="15">
        <f t="shared" ref="G196:G258" si="6">100000*D4</f>
        <v>102000</v>
      </c>
    </row>
    <row r="197" spans="6:7" x14ac:dyDescent="0.2">
      <c r="G197" s="15">
        <f t="shared" si="6"/>
        <v>105000</v>
      </c>
    </row>
    <row r="198" spans="6:7" x14ac:dyDescent="0.2">
      <c r="G198" s="15">
        <f t="shared" si="6"/>
        <v>107000</v>
      </c>
    </row>
    <row r="199" spans="6:7" x14ac:dyDescent="0.2">
      <c r="G199" s="15">
        <f t="shared" si="6"/>
        <v>110000.00000000001</v>
      </c>
    </row>
    <row r="200" spans="6:7" x14ac:dyDescent="0.2">
      <c r="G200" s="15">
        <f t="shared" si="6"/>
        <v>112999.99999999999</v>
      </c>
    </row>
    <row r="201" spans="6:7" x14ac:dyDescent="0.2">
      <c r="G201" s="15">
        <f t="shared" si="6"/>
        <v>114999.99999999999</v>
      </c>
    </row>
    <row r="202" spans="6:7" x14ac:dyDescent="0.2">
      <c r="G202" s="15">
        <f t="shared" si="6"/>
        <v>118000</v>
      </c>
    </row>
    <row r="203" spans="6:7" x14ac:dyDescent="0.2">
      <c r="G203" s="15">
        <f t="shared" si="6"/>
        <v>121000</v>
      </c>
    </row>
    <row r="204" spans="6:7" x14ac:dyDescent="0.2">
      <c r="G204" s="15">
        <f t="shared" si="6"/>
        <v>124000</v>
      </c>
    </row>
    <row r="205" spans="6:7" x14ac:dyDescent="0.2">
      <c r="G205" s="15">
        <f t="shared" si="6"/>
        <v>127000</v>
      </c>
    </row>
    <row r="206" spans="6:7" x14ac:dyDescent="0.2">
      <c r="G206" s="15">
        <f t="shared" si="6"/>
        <v>130000</v>
      </c>
    </row>
    <row r="207" spans="6:7" x14ac:dyDescent="0.2">
      <c r="G207" s="15">
        <f t="shared" si="6"/>
        <v>133000</v>
      </c>
    </row>
    <row r="208" spans="6:7" x14ac:dyDescent="0.2">
      <c r="G208" s="15">
        <f t="shared" si="6"/>
        <v>137000</v>
      </c>
    </row>
    <row r="209" spans="7:7" x14ac:dyDescent="0.2">
      <c r="G209" s="15">
        <f t="shared" si="6"/>
        <v>140000</v>
      </c>
    </row>
    <row r="210" spans="7:7" x14ac:dyDescent="0.2">
      <c r="G210" s="15">
        <f t="shared" si="6"/>
        <v>143000</v>
      </c>
    </row>
    <row r="211" spans="7:7" x14ac:dyDescent="0.2">
      <c r="G211" s="15">
        <f t="shared" si="6"/>
        <v>147000</v>
      </c>
    </row>
    <row r="212" spans="7:7" x14ac:dyDescent="0.2">
      <c r="G212" s="15">
        <f t="shared" si="6"/>
        <v>150000</v>
      </c>
    </row>
    <row r="213" spans="7:7" x14ac:dyDescent="0.2">
      <c r="G213" s="15">
        <f t="shared" si="6"/>
        <v>154000</v>
      </c>
    </row>
    <row r="214" spans="7:7" x14ac:dyDescent="0.2">
      <c r="G214" s="15">
        <f t="shared" si="6"/>
        <v>158000</v>
      </c>
    </row>
    <row r="215" spans="7:7" x14ac:dyDescent="0.2">
      <c r="G215" s="15">
        <f t="shared" si="6"/>
        <v>162000</v>
      </c>
    </row>
    <row r="216" spans="7:7" x14ac:dyDescent="0.2">
      <c r="G216" s="15">
        <f t="shared" si="6"/>
        <v>165000</v>
      </c>
    </row>
    <row r="217" spans="7:7" x14ac:dyDescent="0.2">
      <c r="G217" s="15">
        <f t="shared" si="6"/>
        <v>169000</v>
      </c>
    </row>
    <row r="218" spans="7:7" x14ac:dyDescent="0.2">
      <c r="G218" s="15">
        <f t="shared" si="6"/>
        <v>174000</v>
      </c>
    </row>
    <row r="219" spans="7:7" x14ac:dyDescent="0.2">
      <c r="G219" s="15">
        <f t="shared" si="6"/>
        <v>178000</v>
      </c>
    </row>
    <row r="220" spans="7:7" x14ac:dyDescent="0.2">
      <c r="G220" s="15">
        <f t="shared" si="6"/>
        <v>182000</v>
      </c>
    </row>
    <row r="221" spans="7:7" x14ac:dyDescent="0.2">
      <c r="G221" s="15">
        <f t="shared" si="6"/>
        <v>187000</v>
      </c>
    </row>
    <row r="222" spans="7:7" x14ac:dyDescent="0.2">
      <c r="G222" s="15">
        <f t="shared" si="6"/>
        <v>191000</v>
      </c>
    </row>
    <row r="223" spans="7:7" x14ac:dyDescent="0.2">
      <c r="G223" s="15">
        <f t="shared" si="6"/>
        <v>196000</v>
      </c>
    </row>
    <row r="224" spans="7:7" x14ac:dyDescent="0.2">
      <c r="G224" s="15">
        <f t="shared" si="6"/>
        <v>200000</v>
      </c>
    </row>
    <row r="225" spans="7:7" x14ac:dyDescent="0.2">
      <c r="G225" s="15">
        <f t="shared" si="6"/>
        <v>204999.99999999997</v>
      </c>
    </row>
    <row r="226" spans="7:7" x14ac:dyDescent="0.2">
      <c r="G226" s="15">
        <f t="shared" si="6"/>
        <v>210000</v>
      </c>
    </row>
    <row r="227" spans="7:7" x14ac:dyDescent="0.2">
      <c r="G227" s="15">
        <f t="shared" si="6"/>
        <v>215000</v>
      </c>
    </row>
    <row r="228" spans="7:7" x14ac:dyDescent="0.2">
      <c r="G228" s="15">
        <f t="shared" si="6"/>
        <v>221000</v>
      </c>
    </row>
    <row r="229" spans="7:7" x14ac:dyDescent="0.2">
      <c r="G229" s="15">
        <f t="shared" si="6"/>
        <v>225999.99999999997</v>
      </c>
    </row>
    <row r="230" spans="7:7" x14ac:dyDescent="0.2">
      <c r="G230" s="15">
        <f t="shared" si="6"/>
        <v>231999.99999999997</v>
      </c>
    </row>
    <row r="231" spans="7:7" x14ac:dyDescent="0.2">
      <c r="G231" s="15">
        <f t="shared" si="6"/>
        <v>237000</v>
      </c>
    </row>
    <row r="232" spans="7:7" x14ac:dyDescent="0.2">
      <c r="G232" s="15">
        <f t="shared" si="6"/>
        <v>243000.00000000003</v>
      </c>
    </row>
    <row r="233" spans="7:7" x14ac:dyDescent="0.2">
      <c r="G233" s="15">
        <f t="shared" si="6"/>
        <v>249000.00000000003</v>
      </c>
    </row>
    <row r="234" spans="7:7" x14ac:dyDescent="0.2">
      <c r="G234" s="15">
        <f t="shared" si="6"/>
        <v>254999.99999999997</v>
      </c>
    </row>
    <row r="235" spans="7:7" x14ac:dyDescent="0.2">
      <c r="G235" s="15">
        <f t="shared" si="6"/>
        <v>261000</v>
      </c>
    </row>
    <row r="236" spans="7:7" x14ac:dyDescent="0.2">
      <c r="G236" s="15">
        <f t="shared" si="6"/>
        <v>267000</v>
      </c>
    </row>
    <row r="237" spans="7:7" x14ac:dyDescent="0.2">
      <c r="G237" s="15">
        <f t="shared" si="6"/>
        <v>274000</v>
      </c>
    </row>
    <row r="238" spans="7:7" x14ac:dyDescent="0.2">
      <c r="G238" s="15">
        <f t="shared" si="6"/>
        <v>280000</v>
      </c>
    </row>
    <row r="239" spans="7:7" x14ac:dyDescent="0.2">
      <c r="G239" s="15">
        <f t="shared" si="6"/>
        <v>287000</v>
      </c>
    </row>
    <row r="240" spans="7:7" x14ac:dyDescent="0.2">
      <c r="G240" s="15">
        <f t="shared" si="6"/>
        <v>294000</v>
      </c>
    </row>
    <row r="241" spans="7:7" x14ac:dyDescent="0.2">
      <c r="G241" s="15">
        <f t="shared" si="6"/>
        <v>301000</v>
      </c>
    </row>
    <row r="242" spans="7:7" x14ac:dyDescent="0.2">
      <c r="G242" s="15">
        <f t="shared" si="6"/>
        <v>309000</v>
      </c>
    </row>
    <row r="243" spans="7:7" x14ac:dyDescent="0.2">
      <c r="G243" s="15">
        <f t="shared" si="6"/>
        <v>316000</v>
      </c>
    </row>
    <row r="244" spans="7:7" x14ac:dyDescent="0.2">
      <c r="G244" s="15">
        <f t="shared" si="6"/>
        <v>324000</v>
      </c>
    </row>
    <row r="245" spans="7:7" x14ac:dyDescent="0.2">
      <c r="G245" s="15">
        <f t="shared" si="6"/>
        <v>332000</v>
      </c>
    </row>
    <row r="246" spans="7:7" x14ac:dyDescent="0.2">
      <c r="G246" s="15">
        <f t="shared" si="6"/>
        <v>340000</v>
      </c>
    </row>
    <row r="247" spans="7:7" x14ac:dyDescent="0.2">
      <c r="G247" s="15">
        <f t="shared" si="6"/>
        <v>348000</v>
      </c>
    </row>
    <row r="248" spans="7:7" x14ac:dyDescent="0.2">
      <c r="G248" s="15">
        <f t="shared" si="6"/>
        <v>357000</v>
      </c>
    </row>
    <row r="249" spans="7:7" x14ac:dyDescent="0.2">
      <c r="G249" s="15">
        <f t="shared" si="6"/>
        <v>365000</v>
      </c>
    </row>
    <row r="250" spans="7:7" x14ac:dyDescent="0.2">
      <c r="G250" s="15">
        <f t="shared" si="6"/>
        <v>374000</v>
      </c>
    </row>
    <row r="251" spans="7:7" x14ac:dyDescent="0.2">
      <c r="G251" s="15">
        <f t="shared" si="6"/>
        <v>383000</v>
      </c>
    </row>
    <row r="252" spans="7:7" x14ac:dyDescent="0.2">
      <c r="G252" s="15">
        <f t="shared" si="6"/>
        <v>392000</v>
      </c>
    </row>
    <row r="253" spans="7:7" x14ac:dyDescent="0.2">
      <c r="G253" s="15">
        <f t="shared" si="6"/>
        <v>401999.99999999994</v>
      </c>
    </row>
    <row r="254" spans="7:7" x14ac:dyDescent="0.2">
      <c r="G254" s="15">
        <f t="shared" si="6"/>
        <v>412000</v>
      </c>
    </row>
    <row r="255" spans="7:7" x14ac:dyDescent="0.2">
      <c r="G255" s="15">
        <f t="shared" si="6"/>
        <v>422000</v>
      </c>
    </row>
    <row r="256" spans="7:7" x14ac:dyDescent="0.2">
      <c r="G256" s="15">
        <f t="shared" si="6"/>
        <v>432000</v>
      </c>
    </row>
    <row r="257" spans="7:7" x14ac:dyDescent="0.2">
      <c r="G257" s="15">
        <f t="shared" si="6"/>
        <v>442000</v>
      </c>
    </row>
    <row r="258" spans="7:7" x14ac:dyDescent="0.2">
      <c r="G258" s="15">
        <f t="shared" si="6"/>
        <v>453000</v>
      </c>
    </row>
    <row r="259" spans="7:7" x14ac:dyDescent="0.2">
      <c r="G259" s="15">
        <f>100000*D67</f>
        <v>463999.99999999994</v>
      </c>
    </row>
    <row r="260" spans="7:7" x14ac:dyDescent="0.2">
      <c r="G260" s="15">
        <f t="shared" ref="G260:G290" si="7">100000*D68</f>
        <v>475000</v>
      </c>
    </row>
    <row r="261" spans="7:7" x14ac:dyDescent="0.2">
      <c r="G261" s="15">
        <f t="shared" si="7"/>
        <v>487000</v>
      </c>
    </row>
    <row r="262" spans="7:7" x14ac:dyDescent="0.2">
      <c r="G262" s="15">
        <f t="shared" si="7"/>
        <v>499000</v>
      </c>
    </row>
    <row r="263" spans="7:7" x14ac:dyDescent="0.2">
      <c r="G263" s="15">
        <f t="shared" si="7"/>
        <v>511000.00000000006</v>
      </c>
    </row>
    <row r="264" spans="7:7" x14ac:dyDescent="0.2">
      <c r="G264" s="15">
        <f t="shared" si="7"/>
        <v>523000.00000000006</v>
      </c>
    </row>
    <row r="265" spans="7:7" x14ac:dyDescent="0.2">
      <c r="G265" s="15">
        <f t="shared" si="7"/>
        <v>536000</v>
      </c>
    </row>
    <row r="266" spans="7:7" x14ac:dyDescent="0.2">
      <c r="G266" s="15">
        <f t="shared" si="7"/>
        <v>549000</v>
      </c>
    </row>
    <row r="267" spans="7:7" x14ac:dyDescent="0.2">
      <c r="G267" s="15">
        <f t="shared" si="7"/>
        <v>562000</v>
      </c>
    </row>
    <row r="268" spans="7:7" x14ac:dyDescent="0.2">
      <c r="G268" s="15">
        <f t="shared" si="7"/>
        <v>576000</v>
      </c>
    </row>
    <row r="269" spans="7:7" x14ac:dyDescent="0.2">
      <c r="G269" s="15">
        <f t="shared" si="7"/>
        <v>590000</v>
      </c>
    </row>
    <row r="270" spans="7:7" x14ac:dyDescent="0.2">
      <c r="G270" s="15">
        <f t="shared" si="7"/>
        <v>604000</v>
      </c>
    </row>
    <row r="271" spans="7:7" x14ac:dyDescent="0.2">
      <c r="G271" s="15">
        <f t="shared" si="7"/>
        <v>619000</v>
      </c>
    </row>
    <row r="272" spans="7:7" x14ac:dyDescent="0.2">
      <c r="G272" s="15">
        <f t="shared" si="7"/>
        <v>634000</v>
      </c>
    </row>
    <row r="273" spans="7:7" x14ac:dyDescent="0.2">
      <c r="G273" s="15">
        <f t="shared" si="7"/>
        <v>649000</v>
      </c>
    </row>
    <row r="274" spans="7:7" x14ac:dyDescent="0.2">
      <c r="G274" s="15">
        <f t="shared" si="7"/>
        <v>665000</v>
      </c>
    </row>
    <row r="275" spans="7:7" x14ac:dyDescent="0.2">
      <c r="G275" s="15">
        <f t="shared" si="7"/>
        <v>681000</v>
      </c>
    </row>
    <row r="276" spans="7:7" x14ac:dyDescent="0.2">
      <c r="G276" s="15">
        <f t="shared" si="7"/>
        <v>698000</v>
      </c>
    </row>
    <row r="277" spans="7:7" x14ac:dyDescent="0.2">
      <c r="G277" s="15">
        <f t="shared" si="7"/>
        <v>715000</v>
      </c>
    </row>
    <row r="278" spans="7:7" x14ac:dyDescent="0.2">
      <c r="G278" s="15">
        <f t="shared" si="7"/>
        <v>732000</v>
      </c>
    </row>
    <row r="279" spans="7:7" x14ac:dyDescent="0.2">
      <c r="G279" s="15">
        <f t="shared" si="7"/>
        <v>750000</v>
      </c>
    </row>
    <row r="280" spans="7:7" x14ac:dyDescent="0.2">
      <c r="G280" s="15">
        <f t="shared" si="7"/>
        <v>768000</v>
      </c>
    </row>
    <row r="281" spans="7:7" x14ac:dyDescent="0.2">
      <c r="G281" s="15">
        <f t="shared" si="7"/>
        <v>787000</v>
      </c>
    </row>
    <row r="282" spans="7:7" x14ac:dyDescent="0.2">
      <c r="G282" s="15">
        <f t="shared" si="7"/>
        <v>806000</v>
      </c>
    </row>
    <row r="283" spans="7:7" x14ac:dyDescent="0.2">
      <c r="G283" s="15">
        <f t="shared" si="7"/>
        <v>825000</v>
      </c>
    </row>
    <row r="284" spans="7:7" x14ac:dyDescent="0.2">
      <c r="G284" s="15">
        <f t="shared" si="7"/>
        <v>844999.99999999988</v>
      </c>
    </row>
    <row r="285" spans="7:7" x14ac:dyDescent="0.2">
      <c r="G285" s="15">
        <f t="shared" si="7"/>
        <v>866000</v>
      </c>
    </row>
    <row r="286" spans="7:7" x14ac:dyDescent="0.2">
      <c r="G286" s="15">
        <f t="shared" si="7"/>
        <v>886999.99999999988</v>
      </c>
    </row>
    <row r="287" spans="7:7" x14ac:dyDescent="0.2">
      <c r="G287" s="15">
        <f t="shared" si="7"/>
        <v>909000</v>
      </c>
    </row>
    <row r="288" spans="7:7" x14ac:dyDescent="0.2">
      <c r="G288" s="15">
        <f t="shared" si="7"/>
        <v>931000</v>
      </c>
    </row>
    <row r="289" spans="6:7" x14ac:dyDescent="0.2">
      <c r="G289" s="15">
        <f t="shared" si="7"/>
        <v>952999.99999999988</v>
      </c>
    </row>
    <row r="290" spans="6:7" x14ac:dyDescent="0.2">
      <c r="G290" s="15">
        <f t="shared" si="7"/>
        <v>976000</v>
      </c>
    </row>
    <row r="291" spans="6:7" x14ac:dyDescent="0.2">
      <c r="F291" t="s">
        <v>61</v>
      </c>
      <c r="G291" s="15">
        <f>1000000*D3</f>
        <v>1000000</v>
      </c>
    </row>
    <row r="292" spans="6:7" x14ac:dyDescent="0.2">
      <c r="F292" t="s">
        <v>63</v>
      </c>
      <c r="G292" s="15">
        <v>10000000</v>
      </c>
    </row>
  </sheetData>
  <phoneticPr fontId="1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R39"/>
  <sheetViews>
    <sheetView workbookViewId="0">
      <selection activeCell="F11" sqref="F11"/>
    </sheetView>
  </sheetViews>
  <sheetFormatPr defaultRowHeight="12.75" x14ac:dyDescent="0.2"/>
  <cols>
    <col min="2" max="2" width="12" customWidth="1"/>
    <col min="3" max="3" width="9.140625" customWidth="1"/>
    <col min="4" max="4" width="12.7109375" customWidth="1"/>
    <col min="7" max="7" width="12.7109375" hidden="1" customWidth="1"/>
    <col min="8" max="9" width="11.5703125" hidden="1" customWidth="1"/>
    <col min="10" max="10" width="24.140625" hidden="1" customWidth="1"/>
    <col min="11" max="11" width="12" hidden="1" customWidth="1"/>
    <col min="12" max="12" width="11.85546875" hidden="1" customWidth="1"/>
    <col min="13" max="13" width="13.28515625" hidden="1" customWidth="1"/>
    <col min="14" max="14" width="10.85546875" hidden="1" customWidth="1"/>
    <col min="15" max="15" width="15.85546875" hidden="1" customWidth="1"/>
    <col min="16" max="16" width="14.42578125" hidden="1" customWidth="1"/>
    <col min="17" max="17" width="20.5703125" customWidth="1"/>
    <col min="18" max="18" width="12" customWidth="1"/>
  </cols>
  <sheetData>
    <row r="2" spans="2:18" ht="13.5" thickBot="1" x14ac:dyDescent="0.25"/>
    <row r="3" spans="2:18" s="66" customFormat="1" ht="39" thickBot="1" x14ac:dyDescent="0.25">
      <c r="B3" s="65" t="s">
        <v>129</v>
      </c>
      <c r="C3" s="49">
        <v>-23313</v>
      </c>
      <c r="D3" s="65" t="s">
        <v>134</v>
      </c>
      <c r="E3" s="51">
        <v>-864</v>
      </c>
      <c r="G3" s="70" t="s">
        <v>4</v>
      </c>
      <c r="H3" s="70" t="s">
        <v>145</v>
      </c>
      <c r="I3" s="75" t="s">
        <v>144</v>
      </c>
      <c r="J3" s="67" t="s">
        <v>152</v>
      </c>
      <c r="K3" s="67" t="s">
        <v>146</v>
      </c>
      <c r="L3" s="68" t="s">
        <v>147</v>
      </c>
      <c r="M3" s="68" t="s">
        <v>148</v>
      </c>
      <c r="N3" s="68" t="s">
        <v>149</v>
      </c>
      <c r="O3" s="68" t="s">
        <v>150</v>
      </c>
      <c r="P3" s="68" t="s">
        <v>151</v>
      </c>
      <c r="Q3" s="72" t="s">
        <v>154</v>
      </c>
      <c r="R3" s="73" t="s">
        <v>4</v>
      </c>
    </row>
    <row r="4" spans="2:18" ht="13.5" thickBot="1" x14ac:dyDescent="0.25">
      <c r="B4" s="61" t="s">
        <v>130</v>
      </c>
      <c r="C4" s="5">
        <v>39961</v>
      </c>
      <c r="D4" s="63" t="s">
        <v>135</v>
      </c>
      <c r="E4" s="52">
        <v>1624</v>
      </c>
      <c r="G4" s="71">
        <f>Accuracy!F4</f>
        <v>-40</v>
      </c>
      <c r="H4" s="71">
        <f>Accuracy!G4</f>
        <v>188500</v>
      </c>
      <c r="I4" s="76">
        <v>18441</v>
      </c>
      <c r="J4">
        <f>ROUND(32768 * (H4+$C$11)/(H4 +$C$11 + I4),0)</f>
        <v>29848</v>
      </c>
      <c r="K4">
        <f>ROUND(J4 -((32768-J4)*$C$11)/I4,0)</f>
        <v>29848</v>
      </c>
      <c r="L4">
        <f>$C$9-((32768-K4)*($C$9-$C$10)/(32768-$C$10))</f>
        <v>11703</v>
      </c>
      <c r="M4">
        <f>K4*$C$9/L4</f>
        <v>29848</v>
      </c>
      <c r="N4">
        <f>(16384 * M4)/($C$3*(M4/32767)^4  + $C$4*(M4/32767)^3 + $C$5*(M4/32767)^2+ $C$6 * (M4/32767) + $C$7)</f>
        <v>26996.914645888301</v>
      </c>
      <c r="O4">
        <f>$E$3*(N4/32767)^3 + $E$4*(N4/32767)^2 + $E$5*(N4/32767) + $E$6</f>
        <v>2441.013194851118</v>
      </c>
      <c r="P4">
        <f>O4/10-273.15</f>
        <v>-29.04868051488819</v>
      </c>
      <c r="Q4" s="77">
        <f>P4-G4</f>
        <v>10.95131948511181</v>
      </c>
      <c r="R4" s="74">
        <f>G4</f>
        <v>-40</v>
      </c>
    </row>
    <row r="5" spans="2:18" ht="13.5" thickBot="1" x14ac:dyDescent="0.25">
      <c r="B5" s="61" t="s">
        <v>131</v>
      </c>
      <c r="C5" s="5">
        <v>-31531</v>
      </c>
      <c r="D5" s="64" t="s">
        <v>136</v>
      </c>
      <c r="E5" s="52">
        <v>-4048</v>
      </c>
      <c r="G5" s="71">
        <f>Accuracy!F5</f>
        <v>-35</v>
      </c>
      <c r="H5" s="71">
        <f>Accuracy!G5</f>
        <v>144100</v>
      </c>
      <c r="I5" s="76">
        <v>18394</v>
      </c>
      <c r="J5">
        <f t="shared" ref="J5:J39" si="0">ROUND(32768 * (H5+$C$11)/(H5 +$C$11 + I5),0)</f>
        <v>29059</v>
      </c>
      <c r="K5">
        <f t="shared" ref="K5:K39" si="1">ROUND(J5 -((32768-J5)*$C$11)/I5,0)</f>
        <v>29059</v>
      </c>
      <c r="L5">
        <f t="shared" ref="L5:L39" si="2">$C$9-((32768-K5)*($C$9-$C$10)/(32768-$C$10))</f>
        <v>11703</v>
      </c>
      <c r="M5">
        <f t="shared" ref="M5:M39" si="3">K5*$C$9/L5</f>
        <v>29059</v>
      </c>
      <c r="N5">
        <f t="shared" ref="N5:N39" si="4">(16384 * M5)/($C$3*(M5/32767)^4  + $C$4*(M5/32767)^3 + $C$5*(M5/32767)^2+ $C$6 * (M5/32767) + $C$7)</f>
        <v>26439.013711009869</v>
      </c>
      <c r="O5">
        <f t="shared" ref="O5:O39" si="5">$E$3*(N5/32767)^3 + $E$4*(N5/32767)^2 + $E$5*(N5/32767) + $E$6</f>
        <v>2494.1863047020242</v>
      </c>
      <c r="P5">
        <f t="shared" ref="P5:P39" si="6">O5/10-273.15</f>
        <v>-23.731369529797547</v>
      </c>
      <c r="Q5" s="77">
        <f t="shared" ref="Q5:Q39" si="7">P5-G5</f>
        <v>11.268630470202453</v>
      </c>
      <c r="R5" s="74">
        <f t="shared" ref="R5:R39" si="8">G5</f>
        <v>-35</v>
      </c>
    </row>
    <row r="6" spans="2:18" ht="13.5" thickBot="1" x14ac:dyDescent="0.25">
      <c r="B6" s="61" t="s">
        <v>132</v>
      </c>
      <c r="C6" s="5">
        <v>31986</v>
      </c>
      <c r="D6" s="64" t="s">
        <v>137</v>
      </c>
      <c r="E6" s="52">
        <v>5157</v>
      </c>
      <c r="G6" s="71">
        <f>Accuracy!F6</f>
        <v>-30</v>
      </c>
      <c r="H6" s="71">
        <f>Accuracy!G6</f>
        <v>111300</v>
      </c>
      <c r="I6" s="76">
        <v>18348</v>
      </c>
      <c r="J6">
        <f t="shared" si="0"/>
        <v>28131</v>
      </c>
      <c r="K6">
        <f t="shared" si="1"/>
        <v>28131</v>
      </c>
      <c r="L6">
        <f t="shared" si="2"/>
        <v>11703</v>
      </c>
      <c r="M6">
        <f t="shared" si="3"/>
        <v>28131</v>
      </c>
      <c r="N6">
        <f t="shared" si="4"/>
        <v>25849.519634371991</v>
      </c>
      <c r="O6">
        <f t="shared" si="5"/>
        <v>2550.0765904146674</v>
      </c>
      <c r="P6">
        <f t="shared" si="6"/>
        <v>-18.142340958533225</v>
      </c>
      <c r="Q6" s="77">
        <f t="shared" si="7"/>
        <v>11.857659041466775</v>
      </c>
      <c r="R6" s="74">
        <f t="shared" si="8"/>
        <v>-30</v>
      </c>
    </row>
    <row r="7" spans="2:18" ht="13.5" thickBot="1" x14ac:dyDescent="0.25">
      <c r="B7" s="61" t="s">
        <v>133</v>
      </c>
      <c r="C7" s="54">
        <v>988</v>
      </c>
      <c r="G7" s="71">
        <f>Accuracy!F7</f>
        <v>-25</v>
      </c>
      <c r="H7" s="71">
        <f>Accuracy!G7</f>
        <v>86430</v>
      </c>
      <c r="I7" s="76">
        <v>18301</v>
      </c>
      <c r="J7">
        <f t="shared" si="0"/>
        <v>27042</v>
      </c>
      <c r="K7">
        <f t="shared" si="1"/>
        <v>27042</v>
      </c>
      <c r="L7">
        <f t="shared" si="2"/>
        <v>11703</v>
      </c>
      <c r="M7">
        <f t="shared" si="3"/>
        <v>27042</v>
      </c>
      <c r="N7">
        <f t="shared" si="4"/>
        <v>25234.983974727918</v>
      </c>
      <c r="O7">
        <f t="shared" si="5"/>
        <v>2608.0515463230527</v>
      </c>
      <c r="P7">
        <f t="shared" si="6"/>
        <v>-12.344845367694688</v>
      </c>
      <c r="Q7" s="77">
        <f t="shared" si="7"/>
        <v>12.655154632305312</v>
      </c>
      <c r="R7" s="74">
        <f t="shared" si="8"/>
        <v>-25</v>
      </c>
    </row>
    <row r="8" spans="2:18" ht="13.5" thickBot="1" x14ac:dyDescent="0.25">
      <c r="G8" s="71">
        <f>Accuracy!F8</f>
        <v>-20</v>
      </c>
      <c r="H8" s="71">
        <f>Accuracy!G8</f>
        <v>67770</v>
      </c>
      <c r="I8" s="76">
        <v>18255</v>
      </c>
      <c r="J8">
        <f t="shared" si="0"/>
        <v>25814</v>
      </c>
      <c r="K8">
        <f t="shared" si="1"/>
        <v>25814</v>
      </c>
      <c r="L8">
        <f t="shared" si="2"/>
        <v>11703</v>
      </c>
      <c r="M8">
        <f t="shared" si="3"/>
        <v>25814</v>
      </c>
      <c r="N8">
        <f t="shared" si="4"/>
        <v>24623.609993803992</v>
      </c>
      <c r="O8">
        <f t="shared" si="5"/>
        <v>2665.4683641637284</v>
      </c>
      <c r="P8">
        <f t="shared" si="6"/>
        <v>-6.6031635836271221</v>
      </c>
      <c r="Q8" s="77">
        <f t="shared" si="7"/>
        <v>13.396836416372878</v>
      </c>
      <c r="R8" s="74">
        <f t="shared" si="8"/>
        <v>-20</v>
      </c>
    </row>
    <row r="9" spans="2:18" ht="13.5" thickBot="1" x14ac:dyDescent="0.25">
      <c r="B9" s="61" t="s">
        <v>141</v>
      </c>
      <c r="C9" s="62">
        <v>11703</v>
      </c>
      <c r="G9" s="71">
        <f>Accuracy!F9</f>
        <v>-15</v>
      </c>
      <c r="H9" s="71">
        <f>Accuracy!G9</f>
        <v>53410</v>
      </c>
      <c r="I9" s="76">
        <v>18213</v>
      </c>
      <c r="J9">
        <f t="shared" si="0"/>
        <v>24435</v>
      </c>
      <c r="K9">
        <f t="shared" si="1"/>
        <v>24435</v>
      </c>
      <c r="L9">
        <f t="shared" si="2"/>
        <v>11703</v>
      </c>
      <c r="M9">
        <f t="shared" si="3"/>
        <v>24435</v>
      </c>
      <c r="N9">
        <f t="shared" si="4"/>
        <v>24018.089068263136</v>
      </c>
      <c r="O9">
        <f t="shared" si="5"/>
        <v>2722.1131511361255</v>
      </c>
      <c r="P9">
        <f t="shared" si="6"/>
        <v>-0.93868488638742065</v>
      </c>
      <c r="Q9" s="77">
        <f t="shared" si="7"/>
        <v>14.061315113612579</v>
      </c>
      <c r="R9" s="74">
        <f t="shared" si="8"/>
        <v>-15</v>
      </c>
    </row>
    <row r="10" spans="2:18" ht="13.5" thickBot="1" x14ac:dyDescent="0.25">
      <c r="B10" s="61" t="s">
        <v>142</v>
      </c>
      <c r="C10" s="62">
        <v>11703</v>
      </c>
      <c r="G10" s="71">
        <f>Accuracy!F10</f>
        <v>-10</v>
      </c>
      <c r="H10" s="71">
        <f>Accuracy!G10</f>
        <v>42470</v>
      </c>
      <c r="I10" s="76">
        <v>18171</v>
      </c>
      <c r="J10">
        <f t="shared" si="0"/>
        <v>22949</v>
      </c>
      <c r="K10">
        <f t="shared" si="1"/>
        <v>22949</v>
      </c>
      <c r="L10">
        <f t="shared" si="2"/>
        <v>11703</v>
      </c>
      <c r="M10">
        <f t="shared" si="3"/>
        <v>22949</v>
      </c>
      <c r="N10">
        <f t="shared" si="4"/>
        <v>23437.416600876808</v>
      </c>
      <c r="O10">
        <f t="shared" si="5"/>
        <v>2776.2560005325404</v>
      </c>
      <c r="P10">
        <f t="shared" si="6"/>
        <v>4.4756000532540838</v>
      </c>
      <c r="Q10" s="77">
        <f t="shared" si="7"/>
        <v>14.475600053254084</v>
      </c>
      <c r="R10" s="74">
        <f t="shared" si="8"/>
        <v>-10</v>
      </c>
    </row>
    <row r="11" spans="2:18" ht="13.5" thickBot="1" x14ac:dyDescent="0.25">
      <c r="B11" s="61" t="s">
        <v>143</v>
      </c>
      <c r="C11" s="62">
        <v>0</v>
      </c>
      <c r="D11" s="59"/>
      <c r="G11" s="71">
        <f>Accuracy!F11</f>
        <v>-5</v>
      </c>
      <c r="H11" s="71">
        <f>Accuracy!G11</f>
        <v>33900</v>
      </c>
      <c r="I11" s="76">
        <v>18129</v>
      </c>
      <c r="J11">
        <f t="shared" si="0"/>
        <v>21350</v>
      </c>
      <c r="K11">
        <f t="shared" si="1"/>
        <v>21350</v>
      </c>
      <c r="L11">
        <f t="shared" si="2"/>
        <v>11703</v>
      </c>
      <c r="M11">
        <f t="shared" si="3"/>
        <v>21350</v>
      </c>
      <c r="N11">
        <f t="shared" si="4"/>
        <v>22870.151277233312</v>
      </c>
      <c r="O11">
        <f t="shared" si="5"/>
        <v>2829.0090407345588</v>
      </c>
      <c r="P11">
        <f t="shared" si="6"/>
        <v>9.7509040734558994</v>
      </c>
      <c r="Q11" s="77">
        <f t="shared" si="7"/>
        <v>14.750904073455899</v>
      </c>
      <c r="R11" s="74">
        <f t="shared" si="8"/>
        <v>-5</v>
      </c>
    </row>
    <row r="12" spans="2:18" x14ac:dyDescent="0.2">
      <c r="B12" s="20"/>
      <c r="C12" s="8"/>
      <c r="D12" s="59"/>
      <c r="G12" s="71">
        <f>Accuracy!F12</f>
        <v>0</v>
      </c>
      <c r="H12" s="71">
        <f>Accuracy!G12</f>
        <v>27280</v>
      </c>
      <c r="I12" s="76">
        <v>18086</v>
      </c>
      <c r="J12">
        <f t="shared" si="0"/>
        <v>19704</v>
      </c>
      <c r="K12">
        <f t="shared" si="1"/>
        <v>19704</v>
      </c>
      <c r="L12">
        <f t="shared" si="2"/>
        <v>11703</v>
      </c>
      <c r="M12">
        <f t="shared" si="3"/>
        <v>19704</v>
      </c>
      <c r="N12">
        <f t="shared" si="4"/>
        <v>22323.314801932342</v>
      </c>
      <c r="O12">
        <f t="shared" si="5"/>
        <v>2879.7569454854251</v>
      </c>
      <c r="P12">
        <f t="shared" si="6"/>
        <v>14.825694548542515</v>
      </c>
      <c r="Q12" s="77">
        <f t="shared" si="7"/>
        <v>14.825694548542515</v>
      </c>
      <c r="R12" s="74">
        <f t="shared" si="8"/>
        <v>0</v>
      </c>
    </row>
    <row r="13" spans="2:18" x14ac:dyDescent="0.2">
      <c r="G13" s="71">
        <f>Accuracy!F13</f>
        <v>5</v>
      </c>
      <c r="H13" s="71">
        <f>Accuracy!G13</f>
        <v>22050</v>
      </c>
      <c r="I13" s="76">
        <v>18047</v>
      </c>
      <c r="J13">
        <f t="shared" si="0"/>
        <v>18020</v>
      </c>
      <c r="K13">
        <f t="shared" si="1"/>
        <v>18020</v>
      </c>
      <c r="L13">
        <f t="shared" si="2"/>
        <v>11703</v>
      </c>
      <c r="M13">
        <f t="shared" si="3"/>
        <v>18020</v>
      </c>
      <c r="N13">
        <f t="shared" si="4"/>
        <v>21778.652693883181</v>
      </c>
      <c r="O13">
        <f t="shared" si="5"/>
        <v>2930.2244813545517</v>
      </c>
      <c r="P13">
        <f t="shared" si="6"/>
        <v>19.872448135455215</v>
      </c>
      <c r="Q13" s="77">
        <f t="shared" si="7"/>
        <v>14.872448135455215</v>
      </c>
      <c r="R13" s="74">
        <f t="shared" si="8"/>
        <v>5</v>
      </c>
    </row>
    <row r="14" spans="2:18" x14ac:dyDescent="0.2">
      <c r="B14" s="92" t="s">
        <v>153</v>
      </c>
      <c r="C14" s="92"/>
      <c r="D14" s="92"/>
      <c r="E14" s="92"/>
      <c r="G14" s="71">
        <f>Accuracy!F14</f>
        <v>10</v>
      </c>
      <c r="H14" s="71">
        <f>Accuracy!G14</f>
        <v>17960</v>
      </c>
      <c r="I14" s="76">
        <v>18008</v>
      </c>
      <c r="J14">
        <f t="shared" si="0"/>
        <v>16362</v>
      </c>
      <c r="K14">
        <f t="shared" si="1"/>
        <v>16362</v>
      </c>
      <c r="L14">
        <f t="shared" si="2"/>
        <v>11703</v>
      </c>
      <c r="M14">
        <f t="shared" si="3"/>
        <v>16362</v>
      </c>
      <c r="N14">
        <f t="shared" si="4"/>
        <v>21235.355641144266</v>
      </c>
      <c r="O14">
        <f t="shared" si="5"/>
        <v>2980.5111338082529</v>
      </c>
      <c r="P14">
        <f t="shared" si="6"/>
        <v>24.901113380825336</v>
      </c>
      <c r="Q14" s="77">
        <f t="shared" si="7"/>
        <v>14.901113380825336</v>
      </c>
      <c r="R14" s="74">
        <f t="shared" si="8"/>
        <v>10</v>
      </c>
    </row>
    <row r="15" spans="2:18" x14ac:dyDescent="0.2">
      <c r="B15" s="92"/>
      <c r="C15" s="92"/>
      <c r="D15" s="92"/>
      <c r="E15" s="92"/>
      <c r="G15" s="71">
        <f>Accuracy!F15</f>
        <v>15</v>
      </c>
      <c r="H15" s="71">
        <f>Accuracy!G15</f>
        <v>14690</v>
      </c>
      <c r="I15" s="76">
        <v>17969</v>
      </c>
      <c r="J15">
        <f t="shared" si="0"/>
        <v>14739</v>
      </c>
      <c r="K15">
        <f t="shared" si="1"/>
        <v>14739</v>
      </c>
      <c r="L15">
        <f t="shared" si="2"/>
        <v>11703</v>
      </c>
      <c r="M15">
        <f t="shared" si="3"/>
        <v>14739</v>
      </c>
      <c r="N15">
        <f t="shared" si="4"/>
        <v>20677.634532229087</v>
      </c>
      <c r="O15">
        <f t="shared" si="5"/>
        <v>3032.1011559599833</v>
      </c>
      <c r="P15">
        <f t="shared" si="6"/>
        <v>30.060115595998354</v>
      </c>
      <c r="Q15" s="77">
        <f t="shared" si="7"/>
        <v>15.060115595998354</v>
      </c>
      <c r="R15" s="74">
        <f t="shared" si="8"/>
        <v>15</v>
      </c>
    </row>
    <row r="16" spans="2:18" x14ac:dyDescent="0.2">
      <c r="G16" s="71">
        <f>Accuracy!F16</f>
        <v>20</v>
      </c>
      <c r="H16" s="71">
        <f>Accuracy!G16</f>
        <v>12090</v>
      </c>
      <c r="I16" s="76">
        <v>17930</v>
      </c>
      <c r="J16">
        <f t="shared" si="0"/>
        <v>13197</v>
      </c>
      <c r="K16">
        <f t="shared" si="1"/>
        <v>13197</v>
      </c>
      <c r="L16">
        <f t="shared" si="2"/>
        <v>11703</v>
      </c>
      <c r="M16">
        <f t="shared" si="3"/>
        <v>13197</v>
      </c>
      <c r="N16">
        <f t="shared" si="4"/>
        <v>20107.711571264543</v>
      </c>
      <c r="O16">
        <f t="shared" si="5"/>
        <v>3084.813066778162</v>
      </c>
      <c r="P16">
        <f t="shared" si="6"/>
        <v>35.331306677816201</v>
      </c>
      <c r="Q16" s="77">
        <f t="shared" si="7"/>
        <v>15.331306677816201</v>
      </c>
      <c r="R16" s="74">
        <f t="shared" si="8"/>
        <v>20</v>
      </c>
    </row>
    <row r="17" spans="7:18" s="69" customFormat="1" x14ac:dyDescent="0.2">
      <c r="G17" s="71">
        <f>Accuracy!F17</f>
        <v>25</v>
      </c>
      <c r="H17" s="71">
        <f>Accuracy!G17</f>
        <v>10000</v>
      </c>
      <c r="I17" s="76">
        <v>17891</v>
      </c>
      <c r="J17">
        <f t="shared" si="0"/>
        <v>11749</v>
      </c>
      <c r="K17">
        <f t="shared" si="1"/>
        <v>11749</v>
      </c>
      <c r="L17" s="69">
        <f t="shared" si="2"/>
        <v>11703</v>
      </c>
      <c r="M17" s="69">
        <f>K17*$C$9/L17</f>
        <v>11749</v>
      </c>
      <c r="N17" s="69">
        <f t="shared" si="4"/>
        <v>19522.992207729822</v>
      </c>
      <c r="O17" s="69">
        <f t="shared" si="5"/>
        <v>3138.9147377450231</v>
      </c>
      <c r="P17" s="69">
        <f t="shared" si="6"/>
        <v>40.74147377450231</v>
      </c>
      <c r="Q17" s="77">
        <f t="shared" si="7"/>
        <v>15.74147377450231</v>
      </c>
      <c r="R17" s="74">
        <f t="shared" si="8"/>
        <v>25</v>
      </c>
    </row>
    <row r="18" spans="7:18" x14ac:dyDescent="0.2">
      <c r="G18" s="71">
        <f>Accuracy!F18</f>
        <v>30</v>
      </c>
      <c r="H18" s="71">
        <f>Accuracy!G18</f>
        <v>8313</v>
      </c>
      <c r="I18" s="76">
        <v>17856</v>
      </c>
      <c r="J18">
        <f t="shared" si="0"/>
        <v>10409</v>
      </c>
      <c r="K18">
        <f t="shared" si="1"/>
        <v>10409</v>
      </c>
      <c r="L18">
        <f t="shared" si="2"/>
        <v>11703</v>
      </c>
      <c r="M18">
        <f t="shared" si="3"/>
        <v>10409</v>
      </c>
      <c r="N18">
        <f t="shared" si="4"/>
        <v>18926.628896536949</v>
      </c>
      <c r="O18">
        <f t="shared" si="5"/>
        <v>3194.1462310800734</v>
      </c>
      <c r="P18">
        <f t="shared" si="6"/>
        <v>46.264623108007356</v>
      </c>
      <c r="Q18" s="77">
        <f t="shared" si="7"/>
        <v>16.264623108007356</v>
      </c>
      <c r="R18" s="74">
        <f t="shared" si="8"/>
        <v>30</v>
      </c>
    </row>
    <row r="19" spans="7:18" x14ac:dyDescent="0.2">
      <c r="G19" s="71">
        <f>Accuracy!F19</f>
        <v>35</v>
      </c>
      <c r="H19" s="71">
        <f>Accuracy!G19</f>
        <v>6940</v>
      </c>
      <c r="I19" s="76">
        <v>17822</v>
      </c>
      <c r="J19">
        <f t="shared" si="0"/>
        <v>9184</v>
      </c>
      <c r="K19">
        <f t="shared" si="1"/>
        <v>9184</v>
      </c>
      <c r="L19">
        <f t="shared" si="2"/>
        <v>11703</v>
      </c>
      <c r="M19">
        <f t="shared" si="3"/>
        <v>9184</v>
      </c>
      <c r="N19">
        <f t="shared" si="4"/>
        <v>18323.060888184427</v>
      </c>
      <c r="O19">
        <f t="shared" si="5"/>
        <v>3250.1306583192477</v>
      </c>
      <c r="P19">
        <f t="shared" si="6"/>
        <v>51.863065831924814</v>
      </c>
      <c r="Q19" s="77">
        <f t="shared" si="7"/>
        <v>16.863065831924814</v>
      </c>
      <c r="R19" s="74">
        <f t="shared" si="8"/>
        <v>35</v>
      </c>
    </row>
    <row r="20" spans="7:18" x14ac:dyDescent="0.2">
      <c r="G20" s="71">
        <f>Accuracy!F20</f>
        <v>40</v>
      </c>
      <c r="H20" s="71">
        <f>Accuracy!G20</f>
        <v>5827</v>
      </c>
      <c r="I20" s="76">
        <v>17787</v>
      </c>
      <c r="J20">
        <f t="shared" si="0"/>
        <v>8086</v>
      </c>
      <c r="K20">
        <f t="shared" si="1"/>
        <v>8086</v>
      </c>
      <c r="L20">
        <f t="shared" si="2"/>
        <v>11703</v>
      </c>
      <c r="M20">
        <f t="shared" si="3"/>
        <v>8086</v>
      </c>
      <c r="N20">
        <f t="shared" si="4"/>
        <v>17722.737509229923</v>
      </c>
      <c r="O20">
        <f t="shared" si="5"/>
        <v>3305.9315802138735</v>
      </c>
      <c r="P20">
        <f t="shared" si="6"/>
        <v>57.443158021387376</v>
      </c>
      <c r="Q20" s="77">
        <f t="shared" si="7"/>
        <v>17.443158021387376</v>
      </c>
      <c r="R20" s="74">
        <f t="shared" si="8"/>
        <v>40</v>
      </c>
    </row>
    <row r="21" spans="7:18" x14ac:dyDescent="0.2">
      <c r="G21" s="71">
        <f>Accuracy!F21</f>
        <v>45</v>
      </c>
      <c r="H21" s="71">
        <f>Accuracy!G21</f>
        <v>4911</v>
      </c>
      <c r="I21" s="76">
        <v>17753</v>
      </c>
      <c r="J21">
        <f t="shared" si="0"/>
        <v>7100</v>
      </c>
      <c r="K21">
        <f t="shared" si="1"/>
        <v>7100</v>
      </c>
      <c r="L21">
        <f t="shared" si="2"/>
        <v>11703</v>
      </c>
      <c r="M21">
        <f t="shared" si="3"/>
        <v>7100</v>
      </c>
      <c r="N21">
        <f t="shared" si="4"/>
        <v>17123.159930706704</v>
      </c>
      <c r="O21">
        <f t="shared" si="5"/>
        <v>3361.8119611709099</v>
      </c>
      <c r="P21">
        <f t="shared" si="6"/>
        <v>63.031196117090985</v>
      </c>
      <c r="Q21" s="77">
        <f t="shared" si="7"/>
        <v>18.031196117090985</v>
      </c>
      <c r="R21" s="74">
        <f t="shared" si="8"/>
        <v>45</v>
      </c>
    </row>
    <row r="22" spans="7:18" x14ac:dyDescent="0.2">
      <c r="G22" s="71">
        <f>Accuracy!F22</f>
        <v>50</v>
      </c>
      <c r="H22" s="71">
        <f>Accuracy!G22</f>
        <v>4160</v>
      </c>
      <c r="I22" s="76">
        <v>17718</v>
      </c>
      <c r="J22">
        <f t="shared" si="0"/>
        <v>6231</v>
      </c>
      <c r="K22">
        <f t="shared" si="1"/>
        <v>6231</v>
      </c>
      <c r="L22">
        <f t="shared" si="2"/>
        <v>11703</v>
      </c>
      <c r="M22">
        <f t="shared" si="3"/>
        <v>6231</v>
      </c>
      <c r="N22">
        <f t="shared" si="4"/>
        <v>16533.676571346648</v>
      </c>
      <c r="O22">
        <f t="shared" si="5"/>
        <v>3416.9273233581939</v>
      </c>
      <c r="P22">
        <f t="shared" si="6"/>
        <v>68.542732335819437</v>
      </c>
      <c r="Q22" s="77">
        <f t="shared" si="7"/>
        <v>18.542732335819437</v>
      </c>
      <c r="R22" s="74">
        <f t="shared" si="8"/>
        <v>50</v>
      </c>
    </row>
    <row r="23" spans="7:18" x14ac:dyDescent="0.2">
      <c r="G23" s="71">
        <f>Accuracy!F23</f>
        <v>55</v>
      </c>
      <c r="H23" s="71">
        <f>Accuracy!G23</f>
        <v>3536</v>
      </c>
      <c r="I23" s="76">
        <v>17684</v>
      </c>
      <c r="J23">
        <f t="shared" si="0"/>
        <v>5460</v>
      </c>
      <c r="K23">
        <f t="shared" si="1"/>
        <v>5460</v>
      </c>
      <c r="L23">
        <f t="shared" si="2"/>
        <v>11703</v>
      </c>
      <c r="M23">
        <f t="shared" si="3"/>
        <v>5460</v>
      </c>
      <c r="N23">
        <f t="shared" si="4"/>
        <v>15947.951354949453</v>
      </c>
      <c r="O23">
        <f t="shared" si="5"/>
        <v>3471.8939134928974</v>
      </c>
      <c r="P23">
        <f t="shared" si="6"/>
        <v>74.039391349289758</v>
      </c>
      <c r="Q23" s="77">
        <f t="shared" si="7"/>
        <v>19.039391349289758</v>
      </c>
      <c r="R23" s="74">
        <f t="shared" si="8"/>
        <v>55</v>
      </c>
    </row>
    <row r="24" spans="7:18" x14ac:dyDescent="0.2">
      <c r="G24" s="71">
        <f>Accuracy!F24</f>
        <v>60</v>
      </c>
      <c r="H24" s="71">
        <f>Accuracy!G24</f>
        <v>3020</v>
      </c>
      <c r="I24" s="76">
        <v>17649</v>
      </c>
      <c r="J24">
        <f t="shared" si="0"/>
        <v>4788</v>
      </c>
      <c r="K24">
        <f t="shared" si="1"/>
        <v>4788</v>
      </c>
      <c r="L24">
        <f t="shared" si="2"/>
        <v>11703</v>
      </c>
      <c r="M24">
        <f t="shared" si="3"/>
        <v>4788</v>
      </c>
      <c r="N24">
        <f t="shared" si="4"/>
        <v>15373.596254883365</v>
      </c>
      <c r="O24">
        <f t="shared" si="5"/>
        <v>3526.0182345253907</v>
      </c>
      <c r="P24">
        <f t="shared" si="6"/>
        <v>79.451823452539088</v>
      </c>
      <c r="Q24" s="77">
        <f t="shared" si="7"/>
        <v>19.451823452539088</v>
      </c>
      <c r="R24" s="74">
        <f t="shared" si="8"/>
        <v>60</v>
      </c>
    </row>
    <row r="25" spans="7:18" x14ac:dyDescent="0.2">
      <c r="G25" s="71">
        <f>Accuracy!F25</f>
        <v>65</v>
      </c>
      <c r="H25" s="71">
        <f>Accuracy!G25</f>
        <v>2588</v>
      </c>
      <c r="I25" s="76">
        <v>17623</v>
      </c>
      <c r="J25">
        <f t="shared" si="0"/>
        <v>4196</v>
      </c>
      <c r="K25">
        <f t="shared" si="1"/>
        <v>4196</v>
      </c>
      <c r="L25">
        <f t="shared" si="2"/>
        <v>11703</v>
      </c>
      <c r="M25">
        <f t="shared" si="3"/>
        <v>4196</v>
      </c>
      <c r="N25">
        <f t="shared" si="4"/>
        <v>14801.610673558176</v>
      </c>
      <c r="O25">
        <f t="shared" si="5"/>
        <v>3580.1683213394481</v>
      </c>
      <c r="P25">
        <f t="shared" si="6"/>
        <v>84.866832133944854</v>
      </c>
      <c r="Q25" s="77">
        <f t="shared" si="7"/>
        <v>19.866832133944854</v>
      </c>
      <c r="R25" s="74">
        <f t="shared" si="8"/>
        <v>65</v>
      </c>
    </row>
    <row r="26" spans="7:18" x14ac:dyDescent="0.2">
      <c r="G26" s="71">
        <f>Accuracy!F26</f>
        <v>70</v>
      </c>
      <c r="H26" s="71">
        <f>Accuracy!G26</f>
        <v>2228</v>
      </c>
      <c r="I26" s="76">
        <v>17597</v>
      </c>
      <c r="J26">
        <f t="shared" si="0"/>
        <v>3683</v>
      </c>
      <c r="K26">
        <f t="shared" si="1"/>
        <v>3683</v>
      </c>
      <c r="L26">
        <f t="shared" si="2"/>
        <v>11703</v>
      </c>
      <c r="M26">
        <f t="shared" si="3"/>
        <v>3683</v>
      </c>
      <c r="N26">
        <f t="shared" si="4"/>
        <v>14238.761705378532</v>
      </c>
      <c r="O26">
        <f t="shared" si="5"/>
        <v>3633.7228719431105</v>
      </c>
      <c r="P26">
        <f t="shared" si="6"/>
        <v>90.222287194311093</v>
      </c>
      <c r="Q26" s="77">
        <f t="shared" si="7"/>
        <v>20.222287194311093</v>
      </c>
      <c r="R26" s="74">
        <f t="shared" si="8"/>
        <v>70</v>
      </c>
    </row>
    <row r="27" spans="7:18" x14ac:dyDescent="0.2">
      <c r="G27" s="71">
        <f>Accuracy!F27</f>
        <v>75</v>
      </c>
      <c r="H27" s="71">
        <f>Accuracy!G27</f>
        <v>1924</v>
      </c>
      <c r="I27" s="76">
        <v>17570</v>
      </c>
      <c r="J27">
        <f t="shared" si="0"/>
        <v>3234</v>
      </c>
      <c r="K27">
        <f t="shared" si="1"/>
        <v>3234</v>
      </c>
      <c r="L27">
        <f t="shared" si="2"/>
        <v>11703</v>
      </c>
      <c r="M27">
        <f t="shared" si="3"/>
        <v>3234</v>
      </c>
      <c r="N27">
        <f t="shared" si="4"/>
        <v>13677.373188653033</v>
      </c>
      <c r="O27">
        <f t="shared" si="5"/>
        <v>3687.4309748604996</v>
      </c>
      <c r="P27">
        <f t="shared" si="6"/>
        <v>95.593097486049999</v>
      </c>
      <c r="Q27" s="77">
        <f t="shared" si="7"/>
        <v>20.593097486049999</v>
      </c>
      <c r="R27" s="74">
        <f t="shared" si="8"/>
        <v>75</v>
      </c>
    </row>
    <row r="28" spans="7:18" x14ac:dyDescent="0.2">
      <c r="G28" s="71">
        <f>Accuracy!F28</f>
        <v>80</v>
      </c>
      <c r="H28" s="71">
        <f>Accuracy!G28</f>
        <v>1668</v>
      </c>
      <c r="I28" s="76">
        <v>17544</v>
      </c>
      <c r="J28">
        <f t="shared" si="0"/>
        <v>2845</v>
      </c>
      <c r="K28">
        <f t="shared" si="1"/>
        <v>2845</v>
      </c>
      <c r="L28">
        <f t="shared" si="2"/>
        <v>11703</v>
      </c>
      <c r="M28">
        <f t="shared" si="3"/>
        <v>2845</v>
      </c>
      <c r="N28">
        <f t="shared" si="4"/>
        <v>13121.697396586422</v>
      </c>
      <c r="O28">
        <f t="shared" si="5"/>
        <v>3740.9058385089716</v>
      </c>
      <c r="P28">
        <f t="shared" si="6"/>
        <v>100.94058385089716</v>
      </c>
      <c r="Q28" s="77">
        <f t="shared" si="7"/>
        <v>20.940583850897156</v>
      </c>
      <c r="R28" s="74">
        <f t="shared" si="8"/>
        <v>80</v>
      </c>
    </row>
    <row r="29" spans="7:18" x14ac:dyDescent="0.2">
      <c r="G29" s="71">
        <f>Accuracy!F29</f>
        <v>85</v>
      </c>
      <c r="H29" s="71">
        <f>Accuracy!G29</f>
        <v>1451</v>
      </c>
      <c r="I29" s="76">
        <v>17518</v>
      </c>
      <c r="J29">
        <f t="shared" si="0"/>
        <v>2507</v>
      </c>
      <c r="K29">
        <f t="shared" si="1"/>
        <v>2507</v>
      </c>
      <c r="L29">
        <f t="shared" si="2"/>
        <v>11703</v>
      </c>
      <c r="M29">
        <f t="shared" si="3"/>
        <v>2507</v>
      </c>
      <c r="N29">
        <f t="shared" si="4"/>
        <v>12569.64166395993</v>
      </c>
      <c r="O29">
        <f t="shared" si="5"/>
        <v>3794.3660532240019</v>
      </c>
      <c r="P29">
        <f t="shared" si="6"/>
        <v>106.28660532240019</v>
      </c>
      <c r="Q29" s="77">
        <f t="shared" si="7"/>
        <v>21.286605322400192</v>
      </c>
      <c r="R29" s="74">
        <f t="shared" si="8"/>
        <v>85</v>
      </c>
    </row>
    <row r="30" spans="7:18" x14ac:dyDescent="0.2">
      <c r="G30" s="71">
        <f>Accuracy!F30</f>
        <v>90</v>
      </c>
      <c r="H30" s="71">
        <f>Accuracy!G30</f>
        <v>1266</v>
      </c>
      <c r="I30" s="76">
        <v>17498</v>
      </c>
      <c r="J30">
        <f t="shared" si="0"/>
        <v>2211</v>
      </c>
      <c r="K30">
        <f t="shared" si="1"/>
        <v>2211</v>
      </c>
      <c r="L30">
        <f t="shared" si="2"/>
        <v>11703</v>
      </c>
      <c r="M30">
        <f t="shared" si="3"/>
        <v>2211</v>
      </c>
      <c r="N30">
        <f t="shared" si="4"/>
        <v>12016.799228281223</v>
      </c>
      <c r="O30">
        <f t="shared" si="5"/>
        <v>3848.2607060698688</v>
      </c>
      <c r="P30">
        <f t="shared" si="6"/>
        <v>111.67607060698691</v>
      </c>
      <c r="Q30" s="77">
        <f t="shared" si="7"/>
        <v>21.676070606986912</v>
      </c>
      <c r="R30" s="74">
        <f t="shared" si="8"/>
        <v>90</v>
      </c>
    </row>
    <row r="31" spans="7:18" x14ac:dyDescent="0.2">
      <c r="G31" s="71">
        <f>Accuracy!F31</f>
        <v>95</v>
      </c>
      <c r="H31" s="71">
        <f>Accuracy!G31</f>
        <v>1108</v>
      </c>
      <c r="I31" s="76">
        <v>17478</v>
      </c>
      <c r="J31">
        <f t="shared" si="0"/>
        <v>1953</v>
      </c>
      <c r="K31">
        <f t="shared" si="1"/>
        <v>1953</v>
      </c>
      <c r="L31">
        <f t="shared" si="2"/>
        <v>11703</v>
      </c>
      <c r="M31">
        <f t="shared" si="3"/>
        <v>1953</v>
      </c>
      <c r="N31">
        <f t="shared" si="4"/>
        <v>11466.316755161117</v>
      </c>
      <c r="O31">
        <f t="shared" si="5"/>
        <v>3902.3062038585877</v>
      </c>
      <c r="P31">
        <f t="shared" si="6"/>
        <v>117.08062038585877</v>
      </c>
      <c r="Q31" s="77">
        <f t="shared" si="7"/>
        <v>22.080620385858765</v>
      </c>
      <c r="R31" s="74">
        <f t="shared" si="8"/>
        <v>95</v>
      </c>
    </row>
    <row r="32" spans="7:18" x14ac:dyDescent="0.2">
      <c r="G32" s="71">
        <f>Accuracy!F32</f>
        <v>100</v>
      </c>
      <c r="H32" s="71">
        <f>Accuracy!G32</f>
        <v>973.1</v>
      </c>
      <c r="I32" s="76">
        <v>17457</v>
      </c>
      <c r="J32">
        <f t="shared" si="0"/>
        <v>1730</v>
      </c>
      <c r="K32">
        <f t="shared" si="1"/>
        <v>1730</v>
      </c>
      <c r="L32">
        <f t="shared" si="2"/>
        <v>11703</v>
      </c>
      <c r="M32">
        <f t="shared" si="3"/>
        <v>1730</v>
      </c>
      <c r="N32">
        <f t="shared" si="4"/>
        <v>10924.468072642054</v>
      </c>
      <c r="O32">
        <f t="shared" si="5"/>
        <v>3955.8991627221558</v>
      </c>
      <c r="P32">
        <f t="shared" si="6"/>
        <v>122.43991627221561</v>
      </c>
      <c r="Q32" s="77">
        <f t="shared" si="7"/>
        <v>22.439916272215612</v>
      </c>
      <c r="R32" s="74">
        <f t="shared" si="8"/>
        <v>100</v>
      </c>
    </row>
    <row r="33" spans="7:18" x14ac:dyDescent="0.2">
      <c r="G33" s="71">
        <f>Accuracy!F33</f>
        <v>105</v>
      </c>
      <c r="H33" s="71">
        <f>Accuracy!G33</f>
        <v>857.2</v>
      </c>
      <c r="I33" s="76">
        <v>17437</v>
      </c>
      <c r="J33">
        <f t="shared" si="0"/>
        <v>1535</v>
      </c>
      <c r="K33">
        <f t="shared" si="1"/>
        <v>1535</v>
      </c>
      <c r="L33">
        <f t="shared" si="2"/>
        <v>11703</v>
      </c>
      <c r="M33">
        <f t="shared" si="3"/>
        <v>1535</v>
      </c>
      <c r="N33">
        <f t="shared" si="4"/>
        <v>10387.123102804819</v>
      </c>
      <c r="O33">
        <f t="shared" si="5"/>
        <v>4009.4569955315201</v>
      </c>
      <c r="P33">
        <f t="shared" si="6"/>
        <v>127.79569955315202</v>
      </c>
      <c r="Q33" s="77">
        <f t="shared" si="7"/>
        <v>22.795699553152019</v>
      </c>
      <c r="R33" s="74">
        <f t="shared" si="8"/>
        <v>105</v>
      </c>
    </row>
    <row r="34" spans="7:18" x14ac:dyDescent="0.2">
      <c r="G34" s="71">
        <f>Accuracy!F34</f>
        <v>110</v>
      </c>
      <c r="H34" s="71">
        <f>Accuracy!G34</f>
        <v>757.6</v>
      </c>
      <c r="I34" s="76">
        <v>17417</v>
      </c>
      <c r="J34">
        <f t="shared" si="0"/>
        <v>1366</v>
      </c>
      <c r="K34">
        <f t="shared" si="1"/>
        <v>1366</v>
      </c>
      <c r="L34">
        <f t="shared" si="2"/>
        <v>11703</v>
      </c>
      <c r="M34">
        <f t="shared" si="3"/>
        <v>1366</v>
      </c>
      <c r="N34">
        <f t="shared" si="4"/>
        <v>9861.5812202378111</v>
      </c>
      <c r="O34">
        <f t="shared" si="5"/>
        <v>4062.2556627533231</v>
      </c>
      <c r="P34">
        <f t="shared" si="6"/>
        <v>133.07556627533233</v>
      </c>
      <c r="Q34" s="77">
        <f t="shared" si="7"/>
        <v>23.075566275332335</v>
      </c>
      <c r="R34" s="74">
        <f t="shared" si="8"/>
        <v>110</v>
      </c>
    </row>
    <row r="35" spans="7:18" x14ac:dyDescent="0.2">
      <c r="G35" s="71">
        <f>Accuracy!F35</f>
        <v>115</v>
      </c>
      <c r="H35" s="71">
        <f>Accuracy!G35</f>
        <v>0</v>
      </c>
      <c r="I35" s="76"/>
      <c r="J35" t="e">
        <f t="shared" si="0"/>
        <v>#DIV/0!</v>
      </c>
      <c r="K35" t="e">
        <f t="shared" si="1"/>
        <v>#DIV/0!</v>
      </c>
      <c r="L35" t="e">
        <f t="shared" si="2"/>
        <v>#DIV/0!</v>
      </c>
      <c r="M35" t="e">
        <f t="shared" si="3"/>
        <v>#DIV/0!</v>
      </c>
      <c r="N35" t="e">
        <f t="shared" si="4"/>
        <v>#DIV/0!</v>
      </c>
      <c r="O35" t="e">
        <f t="shared" si="5"/>
        <v>#DIV/0!</v>
      </c>
      <c r="P35" t="e">
        <f t="shared" si="6"/>
        <v>#DIV/0!</v>
      </c>
      <c r="Q35" s="74" t="e">
        <f t="shared" si="7"/>
        <v>#DIV/0!</v>
      </c>
      <c r="R35" s="74">
        <f t="shared" si="8"/>
        <v>115</v>
      </c>
    </row>
    <row r="36" spans="7:18" x14ac:dyDescent="0.2">
      <c r="G36" s="71">
        <f>Accuracy!F36</f>
        <v>0</v>
      </c>
      <c r="H36" s="71">
        <f>Accuracy!G36</f>
        <v>0</v>
      </c>
      <c r="I36" s="76"/>
      <c r="J36" t="e">
        <f t="shared" si="0"/>
        <v>#DIV/0!</v>
      </c>
      <c r="K36" t="e">
        <f t="shared" si="1"/>
        <v>#DIV/0!</v>
      </c>
      <c r="L36" t="e">
        <f t="shared" si="2"/>
        <v>#DIV/0!</v>
      </c>
      <c r="M36" t="e">
        <f t="shared" si="3"/>
        <v>#DIV/0!</v>
      </c>
      <c r="N36" t="e">
        <f t="shared" si="4"/>
        <v>#DIV/0!</v>
      </c>
      <c r="O36" t="e">
        <f t="shared" si="5"/>
        <v>#DIV/0!</v>
      </c>
      <c r="P36" t="e">
        <f t="shared" si="6"/>
        <v>#DIV/0!</v>
      </c>
      <c r="Q36" s="74" t="e">
        <f t="shared" si="7"/>
        <v>#DIV/0!</v>
      </c>
      <c r="R36" s="74">
        <f t="shared" si="8"/>
        <v>0</v>
      </c>
    </row>
    <row r="37" spans="7:18" x14ac:dyDescent="0.2">
      <c r="G37" s="71">
        <f>Accuracy!F37</f>
        <v>0</v>
      </c>
      <c r="H37" s="71">
        <f>Accuracy!G37</f>
        <v>0</v>
      </c>
      <c r="I37" s="76"/>
      <c r="J37" t="e">
        <f t="shared" si="0"/>
        <v>#DIV/0!</v>
      </c>
      <c r="K37" t="e">
        <f t="shared" si="1"/>
        <v>#DIV/0!</v>
      </c>
      <c r="L37" t="e">
        <f t="shared" si="2"/>
        <v>#DIV/0!</v>
      </c>
      <c r="M37" t="e">
        <f t="shared" si="3"/>
        <v>#DIV/0!</v>
      </c>
      <c r="N37" t="e">
        <f t="shared" si="4"/>
        <v>#DIV/0!</v>
      </c>
      <c r="O37" t="e">
        <f t="shared" si="5"/>
        <v>#DIV/0!</v>
      </c>
      <c r="P37" t="e">
        <f t="shared" si="6"/>
        <v>#DIV/0!</v>
      </c>
      <c r="Q37" s="74" t="e">
        <f t="shared" si="7"/>
        <v>#DIV/0!</v>
      </c>
      <c r="R37" s="74">
        <f t="shared" si="8"/>
        <v>0</v>
      </c>
    </row>
    <row r="38" spans="7:18" x14ac:dyDescent="0.2">
      <c r="G38" s="71">
        <f>Accuracy!F38</f>
        <v>0</v>
      </c>
      <c r="H38" s="71">
        <f>Accuracy!G38</f>
        <v>0</v>
      </c>
      <c r="I38" s="76"/>
      <c r="J38" t="e">
        <f t="shared" si="0"/>
        <v>#DIV/0!</v>
      </c>
      <c r="K38" t="e">
        <f t="shared" si="1"/>
        <v>#DIV/0!</v>
      </c>
      <c r="L38" t="e">
        <f t="shared" si="2"/>
        <v>#DIV/0!</v>
      </c>
      <c r="M38" t="e">
        <f t="shared" si="3"/>
        <v>#DIV/0!</v>
      </c>
      <c r="N38" t="e">
        <f t="shared" si="4"/>
        <v>#DIV/0!</v>
      </c>
      <c r="O38" t="e">
        <f t="shared" si="5"/>
        <v>#DIV/0!</v>
      </c>
      <c r="P38" t="e">
        <f t="shared" si="6"/>
        <v>#DIV/0!</v>
      </c>
      <c r="Q38" s="74" t="e">
        <f t="shared" si="7"/>
        <v>#DIV/0!</v>
      </c>
      <c r="R38" s="74">
        <f t="shared" si="8"/>
        <v>0</v>
      </c>
    </row>
    <row r="39" spans="7:18" x14ac:dyDescent="0.2">
      <c r="G39" s="71">
        <f>Accuracy!F39</f>
        <v>0</v>
      </c>
      <c r="H39" s="71">
        <f>Accuracy!G39</f>
        <v>0</v>
      </c>
      <c r="I39" s="76"/>
      <c r="J39" t="e">
        <f t="shared" si="0"/>
        <v>#DIV/0!</v>
      </c>
      <c r="K39" t="e">
        <f t="shared" si="1"/>
        <v>#DIV/0!</v>
      </c>
      <c r="L39" t="e">
        <f t="shared" si="2"/>
        <v>#DIV/0!</v>
      </c>
      <c r="M39" t="e">
        <f t="shared" si="3"/>
        <v>#DIV/0!</v>
      </c>
      <c r="N39" t="e">
        <f t="shared" si="4"/>
        <v>#DIV/0!</v>
      </c>
      <c r="O39" t="e">
        <f t="shared" si="5"/>
        <v>#DIV/0!</v>
      </c>
      <c r="P39" t="e">
        <f t="shared" si="6"/>
        <v>#DIV/0!</v>
      </c>
      <c r="Q39" s="74" t="e">
        <f t="shared" si="7"/>
        <v>#DIV/0!</v>
      </c>
      <c r="R39" s="74">
        <f t="shared" si="8"/>
        <v>0</v>
      </c>
    </row>
  </sheetData>
  <mergeCells count="1">
    <mergeCell ref="B14:E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Accuracy</vt:lpstr>
      <vt:lpstr>Thermistor</vt:lpstr>
      <vt:lpstr>Resistor Network</vt:lpstr>
      <vt:lpstr>Digital</vt:lpstr>
      <vt:lpstr>best fit</vt:lpstr>
      <vt:lpstr>Thermistor Database</vt:lpstr>
      <vt:lpstr>Sheet1</vt:lpstr>
      <vt:lpstr>What If</vt:lpstr>
      <vt:lpstr>E96Resistor</vt:lpstr>
      <vt:lpstr>Tolerance</vt:lpstr>
    </vt:vector>
  </TitlesOfParts>
  <Company>Texas Instruments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a0797214</dc:creator>
  <cp:lastModifiedBy>Thomas Cosby</cp:lastModifiedBy>
  <cp:lastPrinted>2008-10-01T16:59:10Z</cp:lastPrinted>
  <dcterms:created xsi:type="dcterms:W3CDTF">2008-01-21T19:57:04Z</dcterms:created>
  <dcterms:modified xsi:type="dcterms:W3CDTF">2014-08-04T01:28:13Z</dcterms:modified>
</cp:coreProperties>
</file>