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一些公司\TI公司软件工具\PFC计算工具\UCC29019-sluc069e\"/>
    </mc:Choice>
  </mc:AlternateContent>
  <bookViews>
    <workbookView xWindow="0" yWindow="0" windowWidth="24744" windowHeight="10500" tabRatio="559" activeTab="1"/>
  </bookViews>
  <sheets>
    <sheet name="INSTRUCTIONS READ ME FIRST!" sheetId="4" r:id="rId1"/>
    <sheet name="CALCULATIONS" sheetId="1" r:id="rId2"/>
    <sheet name="SCHEMATIC" sheetId="5" r:id="rId3"/>
    <sheet name="data" sheetId="2" r:id="rId4"/>
  </sheets>
  <definedNames>
    <definedName name="_Rfb1">CALCULATIONS!$C$123</definedName>
    <definedName name="_Rfb2">CALCULATIONS!$C$127</definedName>
    <definedName name="a_1">data!$H$78</definedName>
    <definedName name="a_2">data!$H$88</definedName>
    <definedName name="a_3">data!$H$99</definedName>
    <definedName name="a_4">#REF!</definedName>
    <definedName name="b_1">data!$H$79</definedName>
    <definedName name="b_2">data!$H$89</definedName>
    <definedName name="b_3">data!$H$100</definedName>
    <definedName name="b_4">#REF!</definedName>
    <definedName name="c_1">data!$H$80</definedName>
    <definedName name="c_2">data!$H$90</definedName>
    <definedName name="c_3">#REF!</definedName>
    <definedName name="Cicomp">CALCULATIONS!$C$175</definedName>
    <definedName name="Cin">CALCULATIONS!$C$52</definedName>
    <definedName name="Cisense">CALCULATIONS!$C$105</definedName>
    <definedName name="Coss">CALCULATIONS!$C$84</definedName>
    <definedName name="Cout">CALCULATIONS!$C$113</definedName>
    <definedName name="Cvcomp">CALCULATIONS!$C$265</definedName>
    <definedName name="Cvcomp_p">CALCULATIONS!$C$271</definedName>
    <definedName name="Cvins">CALCULATIONS!$C$334</definedName>
    <definedName name="Cvins_hu">CALCULATIONS!$C$326</definedName>
    <definedName name="Cvsense">CALCULATIONS!$C$139</definedName>
    <definedName name="d_1">data!$H$81</definedName>
    <definedName name="d_2">data!$H$91</definedName>
    <definedName name="delta_Rfb1">CALCULATIONS!$C$124</definedName>
    <definedName name="delta_Rfb2">CALCULATIONS!$C$128</definedName>
    <definedName name="Dmax">CALCULATIONS!$C$56</definedName>
    <definedName name="e_1">data!$H$82</definedName>
    <definedName name="e_2">data!$H$92</definedName>
    <definedName name="eff">CALCULATIONS!$C$16</definedName>
    <definedName name="f_1">data!$H$83</definedName>
    <definedName name="f_2">data!$H$93</definedName>
    <definedName name="f_Iavg">CALCULATIONS!$C$173</definedName>
    <definedName name="f_iavgactual">CALCULATIONS!$C$176</definedName>
    <definedName name="fline_max">CALCULATIONS!$C$26</definedName>
    <definedName name="fline_min">CALCULATIONS!$C$25</definedName>
    <definedName name="fline_nom">CALCULATIONS!$C$27</definedName>
    <definedName name="fpole">CALCULATIONS!$C$269</definedName>
    <definedName name="fPWM_PSpole">CALCULATIONS!$C$261</definedName>
    <definedName name="fsw">data!$C$2</definedName>
    <definedName name="ftyp">#REF!</definedName>
    <definedName name="fv">CALCULATIONS!$C$262</definedName>
    <definedName name="fzero">CALCULATIONS!$C$268</definedName>
    <definedName name="g_1">data!$H$84</definedName>
    <definedName name="g_2">data!$H$94</definedName>
    <definedName name="g_mi">data!$H$72</definedName>
    <definedName name="g_mv">data!$H$71</definedName>
    <definedName name="GVL_dB">CALCULATIONS!$C$263</definedName>
    <definedName name="HU_rqment">CALCULATIONS!$C$320</definedName>
    <definedName name="I_Lpeak">CALCULATIONS!$C$57</definedName>
    <definedName name="Ibridge">CALCULATIONS!$C$41</definedName>
    <definedName name="Icout_2fline">CALCULATIONS!$C$116</definedName>
    <definedName name="Icout_HF">CALCULATIONS!$C$117</definedName>
    <definedName name="Icout_rms">CALCULATIONS!$C$118</definedName>
    <definedName name="Ids_rms">CALCULATIONS!$C$79</definedName>
    <definedName name="Ifuse">CALCULATIONS!$C$34</definedName>
    <definedName name="Iin_avg_max">CALCULATIONS!$C$33</definedName>
    <definedName name="Iin_peak_max">CALCULATIONS!$C$32</definedName>
    <definedName name="Iin_rms_max">CALCULATIONS!$C$31</definedName>
    <definedName name="Iinrush">CALCULATIONS!$C$102</definedName>
    <definedName name="IISENSE">data!$H$18</definedName>
    <definedName name="Il_peak_actual">CALCULATIONS!$C$61</definedName>
    <definedName name="Iout">CALCULATIONS!$C$18</definedName>
    <definedName name="Iout_OC">CALCULATIONS!$C$99</definedName>
    <definedName name="Ipcl">CALCULATIONS!$C$100</definedName>
    <definedName name="Iripple">CALCULATIONS!$C$50</definedName>
    <definedName name="Iripple_actual">CALCULATIONS!$C$60</definedName>
    <definedName name="Isoc">CALCULATIONS!$C$97</definedName>
    <definedName name="Ivins">data!$H$19</definedName>
    <definedName name="K_1">data!$H$68</definedName>
    <definedName name="K_1V2">#REF!</definedName>
    <definedName name="K_1V3">#REF!</definedName>
    <definedName name="K_2V2">#REF!</definedName>
    <definedName name="K_2V3">#REF!</definedName>
    <definedName name="K_3V2">#REF!</definedName>
    <definedName name="K_3V3">#REF!</definedName>
    <definedName name="K_4V2">#REF!</definedName>
    <definedName name="K_4V3">#REF!</definedName>
    <definedName name="K_5V3">#REF!</definedName>
    <definedName name="K_fq">data!$H$69</definedName>
    <definedName name="kHz">data!$C$5</definedName>
    <definedName name="kOhm">data!$C$16</definedName>
    <definedName name="L_I_ripple_factor">CALCULATIONS!$C$48</definedName>
    <definedName name="Lbst">CALCULATIONS!$C$59</definedName>
    <definedName name="M_1">CALCULATIONS!$C$170</definedName>
    <definedName name="M_2">CALCULATIONS!$C$171</definedName>
    <definedName name="M_3">CALCULATIONS!$C$172</definedName>
    <definedName name="M1M2">CALCULATIONS!#REF!</definedName>
    <definedName name="M1M2_calc">CALCULATIONS!$C$168</definedName>
    <definedName name="mA">data!$C$8</definedName>
    <definedName name="MegOhm">data!$C$20</definedName>
    <definedName name="mH">data!$C$21</definedName>
    <definedName name="MHz">data!$C$14</definedName>
    <definedName name="mOhm">data!$C$6</definedName>
    <definedName name="mOhms">#REF!</definedName>
    <definedName name="ms">data!$C$7</definedName>
    <definedName name="mSiemens">data!$C$23</definedName>
    <definedName name="mV">data!$C$3</definedName>
    <definedName name="mW">data!$C$12</definedName>
    <definedName name="nC">data!$C$17</definedName>
    <definedName name="Ndropout">CALCULATIONS!$C$110</definedName>
    <definedName name="nF">data!$C$18</definedName>
    <definedName name="Nibop">CALCULATIONS!$C$333</definedName>
    <definedName name="Ninput_hup">CALCULATIONS!$C$323</definedName>
    <definedName name="ns">data!$C$11</definedName>
    <definedName name="P_FET">CALCULATIONS!$C$90</definedName>
    <definedName name="P_FETcond">CALCULATIONS!$C$88</definedName>
    <definedName name="P_FETgate">CALCULATIONS!$C$87</definedName>
    <definedName name="P_FETsw">CALCULATIONS!$C$89</definedName>
    <definedName name="P_Rsense">CALCULATIONS!$C$98</definedName>
    <definedName name="P_rvins">CALCULATIONS!$C$315</definedName>
    <definedName name="P_rvins1">CALCULATIONS!$C$315</definedName>
    <definedName name="Pbridge">CALCULATIONS!$C$43</definedName>
    <definedName name="Pdiode">CALCULATIONS!$C$72</definedName>
    <definedName name="Pdiode_cond">CALCULATIONS!$C$70</definedName>
    <definedName name="Pdiode_reverse">CALCULATIONS!$C$71</definedName>
    <definedName name="Pdivider">CALCULATIONS!$C$140</definedName>
    <definedName name="PF">CALCULATIONS!$C$15</definedName>
    <definedName name="picoF">data!$C$13</definedName>
    <definedName name="Pin_max">CALCULATIONS!$C$30</definedName>
    <definedName name="Pout">CALCULATIONS!$C$13</definedName>
    <definedName name="_xlnm.Print_Area" localSheetId="1">CALCULATIONS!$A$1:$E$33</definedName>
    <definedName name="Prsense">CALCULATIONS!$C$98</definedName>
    <definedName name="Pvins">CALCULATIONS!$C$315</definedName>
    <definedName name="Qg">CALCULATIONS!$C$81</definedName>
    <definedName name="Qrr">CALCULATIONS!$C$66</definedName>
    <definedName name="Rds_on">CALCULATIONS!$C$80</definedName>
    <definedName name="Rfb1_tempco">CALCULATIONS!$C$125</definedName>
    <definedName name="Rfb2_tempco">CALCULATIONS!$C$129</definedName>
    <definedName name="Risense">CALCULATIONS!$C$103</definedName>
    <definedName name="Risense_actual">CALCULATIONS!$C$104</definedName>
    <definedName name="Rjc_bridge">CALCULATIONS!$C$39</definedName>
    <definedName name="Rsense">CALCULATIONS!$C$96</definedName>
    <definedName name="Rth_case_hs">CALCULATIONS!$C$69</definedName>
    <definedName name="Rth_diode">CALCULATIONS!$C$68</definedName>
    <definedName name="Rth_hs_bridge">CALCULATIONS!$C$44</definedName>
    <definedName name="Rth_hs_diode">CALCULATIONS!$C$73</definedName>
    <definedName name="Rth_hs_FET">CALCULATIONS!$C$91</definedName>
    <definedName name="Rth_jc_FET">CALCULATIONS!$C$86</definedName>
    <definedName name="Rtherm">CALCULATIONS!$C$101</definedName>
    <definedName name="Rvcomp">CALCULATIONS!$C$267</definedName>
    <definedName name="Rvins1">CALCULATIONS!$C$309</definedName>
    <definedName name="Rvins2">CALCULATIONS!$C$311</definedName>
    <definedName name="t_dropout_hu">CALCULATIONS!$C$111</definedName>
    <definedName name="t_RFB2Cvsense">data!$H$11</definedName>
    <definedName name="Tamb">CALCULATIONS!$C$17</definedName>
    <definedName name="tf_FET">CALCULATIONS!$C$83</definedName>
    <definedName name="tinput_hu">CALCULATIONS!$C$324</definedName>
    <definedName name="Tj_bridge">CALCULATIONS!$C$40</definedName>
    <definedName name="Tj_diode">CALCULATIONS!$C$67</definedName>
    <definedName name="Tj_FET">CALCULATIONS!$C$85</definedName>
    <definedName name="tr_FET">CALCULATIONS!$C$82</definedName>
    <definedName name="uA">data!$C$15</definedName>
    <definedName name="uC">data!$C$19</definedName>
    <definedName name="uF">data!$C$4</definedName>
    <definedName name="uH">data!$C$10</definedName>
    <definedName name="us">data!$C$9</definedName>
    <definedName name="uSiemens">data!$C$22</definedName>
    <definedName name="V_ripplefactor">CALCULATIONS!$C$49</definedName>
    <definedName name="Vac_off">CALCULATIONS!$C$327</definedName>
    <definedName name="Vac_on">CALCULATIONS!$C$307</definedName>
    <definedName name="Vacin_max">CALCULATIONS!$C$23</definedName>
    <definedName name="Vacin_min">CALCULATIONS!$C$22</definedName>
    <definedName name="Vacin_nom">#REF!</definedName>
    <definedName name="Vacoff_desired">CALCULATIONS!$C$318</definedName>
    <definedName name="VCC">CALCULATIONS!$C$77</definedName>
    <definedName name="Vcomp">data!$H$105</definedName>
    <definedName name="VCOMP1">data!$H$76</definedName>
    <definedName name="VCOMP2">data!$H$85</definedName>
    <definedName name="VCOMP3">data!$H$95</definedName>
    <definedName name="VCOMP4">data!$H$101</definedName>
    <definedName name="VCOMP5">#REF!</definedName>
    <definedName name="Vf">CALCULATIONS!$C$65</definedName>
    <definedName name="Vf_bridge">CALCULATIONS!$C$38</definedName>
    <definedName name="Vgs">CALCULATIONS!$C$78</definedName>
    <definedName name="Vin_max">CALCULATIONS!$C$23</definedName>
    <definedName name="Vin_min">CALCULATIONS!$C$22</definedName>
    <definedName name="Vin_nom">CALCULATIONS!$C$24</definedName>
    <definedName name="Vin_rect_max">CALCULATIONS!$C$29</definedName>
    <definedName name="Vin_rect_min">CALCULATIONS!$C$28</definedName>
    <definedName name="Vin_ripple">CALCULATIONS!$C$51</definedName>
    <definedName name="VINnom">CALCULATIONS!$C$24</definedName>
    <definedName name="Vins_brnmax">data!$H$16</definedName>
    <definedName name="Vins_brnmin">data!$H$15</definedName>
    <definedName name="Vins_brnnom">data!$H$17</definedName>
    <definedName name="Vins_enmax">data!$H$12</definedName>
    <definedName name="Vins_enmin">data!$H$13</definedName>
    <definedName name="Vins_ennom">data!$H$14</definedName>
    <definedName name="Visense_soc">data!$H$2</definedName>
    <definedName name="Vout">CALCULATIONS!$C$14</definedName>
    <definedName name="Vout_holdup">CALCULATIONS!$C$109</definedName>
    <definedName name="Vout_max">CALCULATIONS!$C$132</definedName>
    <definedName name="Vout_min">CALCULATIONS!$C$131</definedName>
    <definedName name="Vout_nom">CALCULATIONS!$C$130</definedName>
    <definedName name="Vout_ripplepp">CALCULATIONS!$C$114</definedName>
    <definedName name="Vovp">CALCULATIONS!$C$133</definedName>
    <definedName name="Vpcl_max">data!$H$3</definedName>
    <definedName name="Vref">data!$H$4</definedName>
    <definedName name="Vref_ovp">data!$H$5</definedName>
    <definedName name="Vref_ovpmax">data!$H$6</definedName>
    <definedName name="Vref_ovpmin">data!$H$7</definedName>
    <definedName name="Vref_uvd">data!$H$8</definedName>
    <definedName name="Vref_uvdmax">data!$H$9</definedName>
    <definedName name="Vref_uvdmin">data!$H$10</definedName>
    <definedName name="Vuvd">CALCULATIONS!$C$136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2" i="2" l="1"/>
  <c r="B382" i="2"/>
  <c r="C381" i="2"/>
  <c r="B381" i="2"/>
  <c r="C380" i="2"/>
  <c r="B380" i="2"/>
  <c r="C379" i="2"/>
  <c r="B379" i="2"/>
  <c r="C378" i="2"/>
  <c r="B378" i="2"/>
  <c r="C377" i="2"/>
  <c r="B377" i="2"/>
  <c r="C376" i="2"/>
  <c r="B376" i="2"/>
  <c r="C375" i="2"/>
  <c r="B375" i="2"/>
  <c r="C374" i="2"/>
  <c r="B374" i="2"/>
  <c r="C373" i="2"/>
  <c r="B373" i="2"/>
  <c r="C372" i="2"/>
  <c r="B372" i="2"/>
  <c r="C371" i="2"/>
  <c r="B371" i="2"/>
  <c r="C370" i="2"/>
  <c r="B370" i="2"/>
  <c r="C369" i="2"/>
  <c r="B369" i="2"/>
  <c r="C368" i="2"/>
  <c r="B368" i="2"/>
  <c r="C367" i="2"/>
  <c r="B367" i="2"/>
  <c r="C366" i="2"/>
  <c r="B366" i="2"/>
  <c r="C365" i="2"/>
  <c r="B365" i="2"/>
  <c r="C364" i="2"/>
  <c r="B364" i="2"/>
  <c r="C363" i="2"/>
  <c r="B363" i="2"/>
  <c r="C362" i="2"/>
  <c r="B362" i="2"/>
  <c r="C361" i="2"/>
  <c r="B361" i="2"/>
  <c r="C360" i="2"/>
  <c r="B360" i="2"/>
  <c r="C359" i="2"/>
  <c r="B359" i="2"/>
  <c r="C358" i="2"/>
  <c r="B358" i="2"/>
  <c r="C357" i="2"/>
  <c r="B357" i="2"/>
  <c r="C356" i="2"/>
  <c r="B356" i="2"/>
  <c r="C355" i="2"/>
  <c r="B355" i="2"/>
  <c r="C354" i="2"/>
  <c r="B354" i="2"/>
  <c r="C353" i="2"/>
  <c r="B353" i="2"/>
  <c r="C352" i="2"/>
  <c r="B352" i="2"/>
  <c r="C351" i="2"/>
  <c r="B351" i="2"/>
  <c r="C350" i="2"/>
  <c r="B350" i="2"/>
  <c r="C349" i="2"/>
  <c r="B349" i="2"/>
  <c r="C348" i="2"/>
  <c r="B348" i="2"/>
  <c r="C347" i="2"/>
  <c r="B347" i="2"/>
  <c r="C346" i="2"/>
  <c r="B346" i="2"/>
  <c r="C345" i="2"/>
  <c r="B345" i="2"/>
  <c r="C344" i="2"/>
  <c r="B344" i="2"/>
  <c r="C343" i="2"/>
  <c r="B343" i="2"/>
  <c r="C342" i="2"/>
  <c r="B342" i="2"/>
  <c r="C341" i="2"/>
  <c r="B341" i="2"/>
  <c r="C340" i="2"/>
  <c r="B340" i="2"/>
  <c r="C339" i="2"/>
  <c r="B339" i="2"/>
  <c r="C338" i="2"/>
  <c r="B338" i="2"/>
  <c r="C337" i="2"/>
  <c r="B337" i="2"/>
  <c r="C336" i="2"/>
  <c r="B336" i="2"/>
  <c r="C335" i="2"/>
  <c r="B335" i="2"/>
  <c r="C334" i="2"/>
  <c r="B334" i="2"/>
  <c r="C333" i="2"/>
  <c r="B333" i="2"/>
  <c r="C332" i="2"/>
  <c r="B332" i="2"/>
  <c r="C331" i="2"/>
  <c r="B331" i="2"/>
  <c r="C330" i="2"/>
  <c r="B330" i="2"/>
  <c r="C329" i="2"/>
  <c r="B329" i="2"/>
  <c r="C328" i="2"/>
  <c r="B328" i="2"/>
  <c r="C327" i="2"/>
  <c r="B327" i="2"/>
  <c r="C326" i="2"/>
  <c r="B326" i="2"/>
  <c r="C325" i="2"/>
  <c r="B325" i="2"/>
  <c r="C324" i="2"/>
  <c r="B324" i="2"/>
  <c r="C323" i="2"/>
  <c r="B323" i="2"/>
  <c r="C322" i="2"/>
  <c r="B322" i="2"/>
  <c r="C321" i="2"/>
  <c r="B321" i="2"/>
  <c r="C320" i="2"/>
  <c r="B320" i="2"/>
  <c r="C319" i="2"/>
  <c r="B319" i="2"/>
  <c r="C318" i="2"/>
  <c r="B318" i="2"/>
  <c r="C317" i="2"/>
  <c r="B317" i="2"/>
  <c r="C316" i="2"/>
  <c r="B316" i="2"/>
  <c r="C315" i="2"/>
  <c r="B315" i="2"/>
  <c r="C314" i="2"/>
  <c r="B314" i="2"/>
  <c r="C313" i="2"/>
  <c r="B313" i="2"/>
  <c r="C312" i="2"/>
  <c r="B312" i="2"/>
  <c r="C311" i="2"/>
  <c r="B311" i="2"/>
  <c r="C310" i="2"/>
  <c r="B310" i="2"/>
  <c r="C309" i="2"/>
  <c r="B309" i="2"/>
  <c r="C308" i="2"/>
  <c r="B308" i="2"/>
  <c r="C307" i="2"/>
  <c r="B307" i="2"/>
  <c r="C306" i="2"/>
  <c r="B306" i="2"/>
  <c r="C305" i="2"/>
  <c r="B305" i="2"/>
  <c r="C304" i="2"/>
  <c r="B304" i="2"/>
  <c r="C303" i="2"/>
  <c r="B303" i="2"/>
  <c r="C302" i="2"/>
  <c r="B302" i="2"/>
  <c r="C301" i="2"/>
  <c r="B301" i="2"/>
  <c r="C300" i="2"/>
  <c r="B300" i="2"/>
  <c r="C299" i="2"/>
  <c r="B299" i="2"/>
  <c r="C298" i="2"/>
  <c r="B298" i="2"/>
  <c r="C297" i="2"/>
  <c r="B297" i="2"/>
  <c r="C296" i="2"/>
  <c r="B296" i="2"/>
  <c r="C295" i="2"/>
  <c r="B295" i="2"/>
  <c r="C294" i="2"/>
  <c r="B294" i="2"/>
  <c r="C293" i="2"/>
  <c r="B293" i="2"/>
  <c r="C292" i="2"/>
  <c r="B292" i="2"/>
  <c r="C291" i="2"/>
  <c r="B291" i="2"/>
  <c r="C290" i="2"/>
  <c r="B290" i="2"/>
  <c r="C289" i="2"/>
  <c r="B289" i="2"/>
  <c r="C288" i="2"/>
  <c r="B288" i="2"/>
  <c r="C287" i="2"/>
  <c r="B287" i="2"/>
  <c r="C286" i="2"/>
  <c r="B286" i="2"/>
  <c r="C285" i="2"/>
  <c r="B285" i="2"/>
  <c r="C284" i="2"/>
  <c r="B284" i="2"/>
  <c r="C283" i="2"/>
  <c r="B283" i="2"/>
  <c r="C282" i="2"/>
  <c r="B282" i="2"/>
  <c r="C281" i="2"/>
  <c r="B281" i="2"/>
  <c r="C280" i="2"/>
  <c r="B280" i="2"/>
  <c r="C279" i="2"/>
  <c r="B279" i="2"/>
  <c r="C278" i="2"/>
  <c r="B278" i="2"/>
  <c r="C277" i="2"/>
  <c r="B277" i="2"/>
  <c r="C276" i="2"/>
  <c r="B276" i="2"/>
  <c r="C275" i="2"/>
  <c r="B275" i="2"/>
  <c r="C274" i="2"/>
  <c r="B274" i="2"/>
  <c r="C273" i="2"/>
  <c r="B273" i="2"/>
  <c r="P265" i="2"/>
  <c r="Q265" i="2" s="1"/>
  <c r="J265" i="2"/>
  <c r="I265" i="2"/>
  <c r="H265" i="2"/>
  <c r="C265" i="2"/>
  <c r="B265" i="2"/>
  <c r="P264" i="2"/>
  <c r="Q264" i="2" s="1"/>
  <c r="J264" i="2"/>
  <c r="I264" i="2"/>
  <c r="H264" i="2"/>
  <c r="C264" i="2"/>
  <c r="B264" i="2"/>
  <c r="P263" i="2"/>
  <c r="Q263" i="2" s="1"/>
  <c r="J263" i="2"/>
  <c r="I263" i="2"/>
  <c r="H263" i="2"/>
  <c r="C263" i="2"/>
  <c r="B263" i="2"/>
  <c r="P262" i="2"/>
  <c r="Q262" i="2" s="1"/>
  <c r="J262" i="2"/>
  <c r="I262" i="2"/>
  <c r="H262" i="2"/>
  <c r="C262" i="2"/>
  <c r="B262" i="2"/>
  <c r="P261" i="2"/>
  <c r="Q261" i="2" s="1"/>
  <c r="J261" i="2"/>
  <c r="I261" i="2"/>
  <c r="H261" i="2"/>
  <c r="C261" i="2"/>
  <c r="B261" i="2"/>
  <c r="P260" i="2"/>
  <c r="Q260" i="2" s="1"/>
  <c r="J260" i="2"/>
  <c r="I260" i="2"/>
  <c r="H260" i="2"/>
  <c r="C260" i="2"/>
  <c r="B260" i="2"/>
  <c r="P259" i="2"/>
  <c r="Q259" i="2" s="1"/>
  <c r="J259" i="2"/>
  <c r="I259" i="2"/>
  <c r="H259" i="2"/>
  <c r="C259" i="2"/>
  <c r="B259" i="2"/>
  <c r="P258" i="2"/>
  <c r="Q258" i="2" s="1"/>
  <c r="J258" i="2"/>
  <c r="I258" i="2"/>
  <c r="H258" i="2"/>
  <c r="C258" i="2"/>
  <c r="B258" i="2"/>
  <c r="P257" i="2"/>
  <c r="Q257" i="2" s="1"/>
  <c r="J257" i="2"/>
  <c r="I257" i="2"/>
  <c r="H257" i="2"/>
  <c r="C257" i="2"/>
  <c r="B257" i="2"/>
  <c r="P256" i="2"/>
  <c r="Q256" i="2" s="1"/>
  <c r="J256" i="2"/>
  <c r="I256" i="2"/>
  <c r="H256" i="2"/>
  <c r="C256" i="2"/>
  <c r="B256" i="2"/>
  <c r="P255" i="2"/>
  <c r="Q255" i="2" s="1"/>
  <c r="J255" i="2"/>
  <c r="I255" i="2"/>
  <c r="H255" i="2"/>
  <c r="C255" i="2"/>
  <c r="B255" i="2"/>
  <c r="P254" i="2"/>
  <c r="Q254" i="2" s="1"/>
  <c r="J254" i="2"/>
  <c r="I254" i="2"/>
  <c r="H254" i="2"/>
  <c r="C254" i="2"/>
  <c r="B254" i="2"/>
  <c r="P253" i="2"/>
  <c r="Q253" i="2" s="1"/>
  <c r="J253" i="2"/>
  <c r="I253" i="2"/>
  <c r="H253" i="2"/>
  <c r="C253" i="2"/>
  <c r="B253" i="2"/>
  <c r="P252" i="2"/>
  <c r="Q252" i="2" s="1"/>
  <c r="J252" i="2"/>
  <c r="I252" i="2"/>
  <c r="H252" i="2"/>
  <c r="C252" i="2"/>
  <c r="B252" i="2"/>
  <c r="P251" i="2"/>
  <c r="Q251" i="2" s="1"/>
  <c r="J251" i="2"/>
  <c r="I251" i="2"/>
  <c r="H251" i="2"/>
  <c r="C251" i="2"/>
  <c r="B251" i="2"/>
  <c r="P250" i="2"/>
  <c r="Q250" i="2" s="1"/>
  <c r="J250" i="2"/>
  <c r="I250" i="2"/>
  <c r="H250" i="2"/>
  <c r="C250" i="2"/>
  <c r="B250" i="2"/>
  <c r="P249" i="2"/>
  <c r="Q249" i="2" s="1"/>
  <c r="J249" i="2"/>
  <c r="I249" i="2"/>
  <c r="H249" i="2"/>
  <c r="C249" i="2"/>
  <c r="B249" i="2"/>
  <c r="P248" i="2"/>
  <c r="Q248" i="2" s="1"/>
  <c r="J248" i="2"/>
  <c r="I248" i="2"/>
  <c r="H248" i="2"/>
  <c r="C248" i="2"/>
  <c r="B248" i="2"/>
  <c r="P247" i="2"/>
  <c r="Q247" i="2" s="1"/>
  <c r="J247" i="2"/>
  <c r="I247" i="2"/>
  <c r="H247" i="2"/>
  <c r="C247" i="2"/>
  <c r="B247" i="2"/>
  <c r="P246" i="2"/>
  <c r="Q246" i="2" s="1"/>
  <c r="J246" i="2"/>
  <c r="I246" i="2"/>
  <c r="H246" i="2"/>
  <c r="C246" i="2"/>
  <c r="B246" i="2"/>
  <c r="P245" i="2"/>
  <c r="Q245" i="2" s="1"/>
  <c r="J245" i="2"/>
  <c r="I245" i="2"/>
  <c r="H245" i="2"/>
  <c r="C245" i="2"/>
  <c r="B245" i="2"/>
  <c r="P244" i="2"/>
  <c r="Q244" i="2" s="1"/>
  <c r="J244" i="2"/>
  <c r="I244" i="2"/>
  <c r="H244" i="2"/>
  <c r="C244" i="2"/>
  <c r="B244" i="2"/>
  <c r="P243" i="2"/>
  <c r="Q243" i="2" s="1"/>
  <c r="J243" i="2"/>
  <c r="I243" i="2"/>
  <c r="H243" i="2"/>
  <c r="C243" i="2"/>
  <c r="B243" i="2"/>
  <c r="P242" i="2"/>
  <c r="Q242" i="2" s="1"/>
  <c r="J242" i="2"/>
  <c r="I242" i="2"/>
  <c r="H242" i="2"/>
  <c r="C242" i="2"/>
  <c r="B242" i="2"/>
  <c r="P241" i="2"/>
  <c r="Q241" i="2" s="1"/>
  <c r="J241" i="2"/>
  <c r="I241" i="2"/>
  <c r="H241" i="2"/>
  <c r="C241" i="2"/>
  <c r="B241" i="2"/>
  <c r="P240" i="2"/>
  <c r="Q240" i="2" s="1"/>
  <c r="J240" i="2"/>
  <c r="I240" i="2"/>
  <c r="H240" i="2"/>
  <c r="C240" i="2"/>
  <c r="B240" i="2"/>
  <c r="P239" i="2"/>
  <c r="Q239" i="2" s="1"/>
  <c r="J239" i="2"/>
  <c r="I239" i="2"/>
  <c r="H239" i="2"/>
  <c r="C239" i="2"/>
  <c r="B239" i="2"/>
  <c r="P238" i="2"/>
  <c r="Q238" i="2" s="1"/>
  <c r="J238" i="2"/>
  <c r="I238" i="2"/>
  <c r="H238" i="2"/>
  <c r="C238" i="2"/>
  <c r="B238" i="2"/>
  <c r="P237" i="2"/>
  <c r="Q237" i="2" s="1"/>
  <c r="J237" i="2"/>
  <c r="I237" i="2"/>
  <c r="H237" i="2"/>
  <c r="C237" i="2"/>
  <c r="B237" i="2"/>
  <c r="P236" i="2"/>
  <c r="Q236" i="2" s="1"/>
  <c r="J236" i="2"/>
  <c r="I236" i="2"/>
  <c r="H236" i="2"/>
  <c r="C236" i="2"/>
  <c r="B236" i="2"/>
  <c r="P235" i="2"/>
  <c r="Q235" i="2" s="1"/>
  <c r="J235" i="2"/>
  <c r="I235" i="2"/>
  <c r="H235" i="2"/>
  <c r="C235" i="2"/>
  <c r="B235" i="2"/>
  <c r="Q234" i="2"/>
  <c r="P234" i="2"/>
  <c r="J234" i="2"/>
  <c r="I234" i="2"/>
  <c r="H234" i="2"/>
  <c r="C234" i="2"/>
  <c r="B234" i="2"/>
  <c r="P233" i="2"/>
  <c r="Q233" i="2" s="1"/>
  <c r="J233" i="2"/>
  <c r="I233" i="2"/>
  <c r="H233" i="2"/>
  <c r="C233" i="2"/>
  <c r="B233" i="2"/>
  <c r="P232" i="2"/>
  <c r="Q232" i="2" s="1"/>
  <c r="J232" i="2"/>
  <c r="I232" i="2"/>
  <c r="H232" i="2"/>
  <c r="C232" i="2"/>
  <c r="B232" i="2"/>
  <c r="P231" i="2"/>
  <c r="Q231" i="2" s="1"/>
  <c r="J231" i="2"/>
  <c r="I231" i="2"/>
  <c r="H231" i="2"/>
  <c r="C231" i="2"/>
  <c r="B231" i="2"/>
  <c r="P230" i="2"/>
  <c r="Q230" i="2" s="1"/>
  <c r="J230" i="2"/>
  <c r="I230" i="2"/>
  <c r="H230" i="2"/>
  <c r="C230" i="2"/>
  <c r="B230" i="2"/>
  <c r="P229" i="2"/>
  <c r="Q229" i="2" s="1"/>
  <c r="J229" i="2"/>
  <c r="I229" i="2"/>
  <c r="H229" i="2"/>
  <c r="C229" i="2"/>
  <c r="B229" i="2"/>
  <c r="P228" i="2"/>
  <c r="Q228" i="2" s="1"/>
  <c r="J228" i="2"/>
  <c r="I228" i="2"/>
  <c r="H228" i="2"/>
  <c r="C228" i="2"/>
  <c r="B228" i="2"/>
  <c r="P227" i="2"/>
  <c r="Q227" i="2" s="1"/>
  <c r="J227" i="2"/>
  <c r="I227" i="2"/>
  <c r="H227" i="2"/>
  <c r="C227" i="2"/>
  <c r="B227" i="2"/>
  <c r="P226" i="2"/>
  <c r="Q226" i="2" s="1"/>
  <c r="J226" i="2"/>
  <c r="I226" i="2"/>
  <c r="H226" i="2"/>
  <c r="C226" i="2"/>
  <c r="B226" i="2"/>
  <c r="P225" i="2"/>
  <c r="Q225" i="2" s="1"/>
  <c r="J225" i="2"/>
  <c r="I225" i="2"/>
  <c r="H225" i="2"/>
  <c r="C225" i="2"/>
  <c r="B225" i="2"/>
  <c r="P224" i="2"/>
  <c r="Q224" i="2" s="1"/>
  <c r="J224" i="2"/>
  <c r="I224" i="2"/>
  <c r="H224" i="2"/>
  <c r="C224" i="2"/>
  <c r="B224" i="2"/>
  <c r="P223" i="2"/>
  <c r="Q223" i="2" s="1"/>
  <c r="J223" i="2"/>
  <c r="I223" i="2"/>
  <c r="H223" i="2"/>
  <c r="C223" i="2"/>
  <c r="B223" i="2"/>
  <c r="P222" i="2"/>
  <c r="Q222" i="2" s="1"/>
  <c r="J222" i="2"/>
  <c r="I222" i="2"/>
  <c r="H222" i="2"/>
  <c r="C222" i="2"/>
  <c r="B222" i="2"/>
  <c r="P221" i="2"/>
  <c r="Q221" i="2" s="1"/>
  <c r="J221" i="2"/>
  <c r="I221" i="2"/>
  <c r="H221" i="2"/>
  <c r="C221" i="2"/>
  <c r="B221" i="2"/>
  <c r="P220" i="2"/>
  <c r="Q220" i="2" s="1"/>
  <c r="J220" i="2"/>
  <c r="I220" i="2"/>
  <c r="H220" i="2"/>
  <c r="C220" i="2"/>
  <c r="B220" i="2"/>
  <c r="P219" i="2"/>
  <c r="Q219" i="2" s="1"/>
  <c r="J219" i="2"/>
  <c r="I219" i="2"/>
  <c r="H219" i="2"/>
  <c r="C219" i="2"/>
  <c r="B219" i="2"/>
  <c r="P218" i="2"/>
  <c r="Q218" i="2" s="1"/>
  <c r="J218" i="2"/>
  <c r="I218" i="2"/>
  <c r="H218" i="2"/>
  <c r="C218" i="2"/>
  <c r="B218" i="2"/>
  <c r="P217" i="2"/>
  <c r="Q217" i="2" s="1"/>
  <c r="J217" i="2"/>
  <c r="I217" i="2"/>
  <c r="H217" i="2"/>
  <c r="C217" i="2"/>
  <c r="B217" i="2"/>
  <c r="P216" i="2"/>
  <c r="Q216" i="2" s="1"/>
  <c r="J216" i="2"/>
  <c r="I216" i="2"/>
  <c r="H216" i="2"/>
  <c r="C216" i="2"/>
  <c r="B216" i="2"/>
  <c r="P215" i="2"/>
  <c r="Q215" i="2" s="1"/>
  <c r="J215" i="2"/>
  <c r="I215" i="2"/>
  <c r="H215" i="2"/>
  <c r="C215" i="2"/>
  <c r="B215" i="2"/>
  <c r="Q214" i="2"/>
  <c r="P214" i="2"/>
  <c r="J214" i="2"/>
  <c r="I214" i="2"/>
  <c r="H214" i="2"/>
  <c r="C214" i="2"/>
  <c r="B214" i="2"/>
  <c r="P213" i="2"/>
  <c r="Q213" i="2" s="1"/>
  <c r="J213" i="2"/>
  <c r="I213" i="2"/>
  <c r="H213" i="2"/>
  <c r="C213" i="2"/>
  <c r="B213" i="2"/>
  <c r="P212" i="2"/>
  <c r="Q212" i="2" s="1"/>
  <c r="J212" i="2"/>
  <c r="I212" i="2"/>
  <c r="H212" i="2"/>
  <c r="C212" i="2"/>
  <c r="B212" i="2"/>
  <c r="P211" i="2"/>
  <c r="Q211" i="2" s="1"/>
  <c r="J211" i="2"/>
  <c r="I211" i="2"/>
  <c r="H211" i="2"/>
  <c r="C211" i="2"/>
  <c r="B211" i="2"/>
  <c r="P210" i="2"/>
  <c r="Q210" i="2" s="1"/>
  <c r="J210" i="2"/>
  <c r="I210" i="2"/>
  <c r="H210" i="2"/>
  <c r="C210" i="2"/>
  <c r="B210" i="2"/>
  <c r="P209" i="2"/>
  <c r="Q209" i="2" s="1"/>
  <c r="J209" i="2"/>
  <c r="I209" i="2"/>
  <c r="H209" i="2"/>
  <c r="C209" i="2"/>
  <c r="B209" i="2"/>
  <c r="P208" i="2"/>
  <c r="Q208" i="2" s="1"/>
  <c r="J208" i="2"/>
  <c r="I208" i="2"/>
  <c r="H208" i="2"/>
  <c r="C208" i="2"/>
  <c r="B208" i="2"/>
  <c r="P207" i="2"/>
  <c r="Q207" i="2" s="1"/>
  <c r="J207" i="2"/>
  <c r="I207" i="2"/>
  <c r="H207" i="2"/>
  <c r="C207" i="2"/>
  <c r="B207" i="2"/>
  <c r="P206" i="2"/>
  <c r="Q206" i="2" s="1"/>
  <c r="J206" i="2"/>
  <c r="I206" i="2"/>
  <c r="H206" i="2"/>
  <c r="C206" i="2"/>
  <c r="B206" i="2"/>
  <c r="Y205" i="2"/>
  <c r="X205" i="2"/>
  <c r="W205" i="2"/>
  <c r="P205" i="2"/>
  <c r="Q205" i="2" s="1"/>
  <c r="J205" i="2"/>
  <c r="I205" i="2"/>
  <c r="H205" i="2"/>
  <c r="C205" i="2"/>
  <c r="B205" i="2"/>
  <c r="C174" i="2"/>
  <c r="B174" i="2"/>
  <c r="A174" i="2"/>
  <c r="D173" i="2"/>
  <c r="C173" i="2"/>
  <c r="B173" i="2"/>
  <c r="A173" i="2"/>
  <c r="D172" i="2"/>
  <c r="C172" i="2"/>
  <c r="B172" i="2"/>
  <c r="A172" i="2"/>
  <c r="D171" i="2"/>
  <c r="C171" i="2"/>
  <c r="B171" i="2"/>
  <c r="A171" i="2"/>
  <c r="D170" i="2"/>
  <c r="C170" i="2"/>
  <c r="B170" i="2"/>
  <c r="A170" i="2"/>
  <c r="D169" i="2"/>
  <c r="C169" i="2"/>
  <c r="B169" i="2"/>
  <c r="A169" i="2"/>
  <c r="D168" i="2"/>
  <c r="C168" i="2"/>
  <c r="B168" i="2"/>
  <c r="A168" i="2"/>
  <c r="D167" i="2"/>
  <c r="C167" i="2"/>
  <c r="B167" i="2"/>
  <c r="A167" i="2"/>
  <c r="D166" i="2"/>
  <c r="C166" i="2"/>
  <c r="B166" i="2"/>
  <c r="A166" i="2"/>
  <c r="D165" i="2"/>
  <c r="C165" i="2"/>
  <c r="B165" i="2"/>
  <c r="A165" i="2"/>
  <c r="D164" i="2"/>
  <c r="C164" i="2"/>
  <c r="B164" i="2"/>
  <c r="A164" i="2"/>
  <c r="D163" i="2"/>
  <c r="C163" i="2"/>
  <c r="B163" i="2"/>
  <c r="A163" i="2"/>
  <c r="D162" i="2"/>
  <c r="C162" i="2"/>
  <c r="B162" i="2"/>
  <c r="A162" i="2"/>
  <c r="D161" i="2"/>
  <c r="C161" i="2"/>
  <c r="B161" i="2"/>
  <c r="A161" i="2"/>
  <c r="D160" i="2"/>
  <c r="C160" i="2"/>
  <c r="B160" i="2"/>
  <c r="A160" i="2"/>
  <c r="D159" i="2"/>
  <c r="C159" i="2"/>
  <c r="B159" i="2"/>
  <c r="A159" i="2"/>
  <c r="D158" i="2"/>
  <c r="C158" i="2"/>
  <c r="B158" i="2"/>
  <c r="A158" i="2"/>
  <c r="D157" i="2"/>
  <c r="C157" i="2"/>
  <c r="B157" i="2"/>
  <c r="A157" i="2"/>
  <c r="D156" i="2"/>
  <c r="C156" i="2"/>
  <c r="B156" i="2"/>
  <c r="A156" i="2"/>
  <c r="D155" i="2"/>
  <c r="C155" i="2"/>
  <c r="B155" i="2"/>
  <c r="A155" i="2"/>
  <c r="D154" i="2"/>
  <c r="C154" i="2"/>
  <c r="B154" i="2"/>
  <c r="A154" i="2"/>
  <c r="D153" i="2"/>
  <c r="C153" i="2"/>
  <c r="B153" i="2"/>
  <c r="A153" i="2"/>
  <c r="D152" i="2"/>
  <c r="C152" i="2"/>
  <c r="B152" i="2"/>
  <c r="A152" i="2"/>
  <c r="D151" i="2"/>
  <c r="C151" i="2"/>
  <c r="B151" i="2"/>
  <c r="A151" i="2"/>
  <c r="D150" i="2"/>
  <c r="C150" i="2"/>
  <c r="B150" i="2"/>
  <c r="A150" i="2"/>
  <c r="D149" i="2"/>
  <c r="C149" i="2"/>
  <c r="B149" i="2"/>
  <c r="A149" i="2"/>
  <c r="D148" i="2"/>
  <c r="C148" i="2"/>
  <c r="B148" i="2"/>
  <c r="A148" i="2"/>
  <c r="D147" i="2"/>
  <c r="C147" i="2"/>
  <c r="B147" i="2"/>
  <c r="A147" i="2"/>
  <c r="D146" i="2"/>
  <c r="C146" i="2"/>
  <c r="B146" i="2"/>
  <c r="A146" i="2"/>
  <c r="D145" i="2"/>
  <c r="C145" i="2"/>
  <c r="B145" i="2"/>
  <c r="A145" i="2"/>
  <c r="D144" i="2"/>
  <c r="C144" i="2"/>
  <c r="B144" i="2"/>
  <c r="A144" i="2"/>
  <c r="D143" i="2"/>
  <c r="C143" i="2"/>
  <c r="B143" i="2"/>
  <c r="A143" i="2"/>
  <c r="D142" i="2"/>
  <c r="C142" i="2"/>
  <c r="B142" i="2"/>
  <c r="A142" i="2"/>
  <c r="D141" i="2"/>
  <c r="C141" i="2"/>
  <c r="B141" i="2"/>
  <c r="A141" i="2"/>
  <c r="D140" i="2"/>
  <c r="C140" i="2"/>
  <c r="B140" i="2"/>
  <c r="A140" i="2"/>
  <c r="D139" i="2"/>
  <c r="C139" i="2"/>
  <c r="B139" i="2"/>
  <c r="A139" i="2"/>
  <c r="D138" i="2"/>
  <c r="C138" i="2"/>
  <c r="B138" i="2"/>
  <c r="A138" i="2"/>
  <c r="D137" i="2"/>
  <c r="C137" i="2"/>
  <c r="B137" i="2"/>
  <c r="A137" i="2"/>
  <c r="D136" i="2"/>
  <c r="C136" i="2"/>
  <c r="B136" i="2"/>
  <c r="A136" i="2"/>
  <c r="D135" i="2"/>
  <c r="C135" i="2"/>
  <c r="B135" i="2"/>
  <c r="A135" i="2"/>
  <c r="D134" i="2"/>
  <c r="C134" i="2"/>
  <c r="B134" i="2"/>
  <c r="A134" i="2"/>
  <c r="D133" i="2"/>
  <c r="C133" i="2"/>
  <c r="B133" i="2"/>
  <c r="A133" i="2"/>
  <c r="D132" i="2"/>
  <c r="C132" i="2"/>
  <c r="B132" i="2"/>
  <c r="A132" i="2"/>
  <c r="D131" i="2"/>
  <c r="C131" i="2"/>
  <c r="B131" i="2"/>
  <c r="A131" i="2"/>
  <c r="D130" i="2"/>
  <c r="C130" i="2"/>
  <c r="B130" i="2"/>
  <c r="A130" i="2"/>
  <c r="D129" i="2"/>
  <c r="C129" i="2"/>
  <c r="B129" i="2"/>
  <c r="A129" i="2"/>
  <c r="D128" i="2"/>
  <c r="C128" i="2"/>
  <c r="B128" i="2"/>
  <c r="A128" i="2"/>
  <c r="D127" i="2"/>
  <c r="C127" i="2"/>
  <c r="B127" i="2"/>
  <c r="A127" i="2"/>
  <c r="D126" i="2"/>
  <c r="C126" i="2"/>
  <c r="B126" i="2"/>
  <c r="A126" i="2"/>
  <c r="D125" i="2"/>
  <c r="C125" i="2"/>
  <c r="B125" i="2"/>
  <c r="A125" i="2"/>
  <c r="D124" i="2"/>
  <c r="C124" i="2"/>
  <c r="B124" i="2"/>
  <c r="A124" i="2"/>
  <c r="D123" i="2"/>
  <c r="C123" i="2"/>
  <c r="B123" i="2"/>
  <c r="A123" i="2"/>
  <c r="D122" i="2"/>
  <c r="C122" i="2"/>
  <c r="B122" i="2"/>
  <c r="A122" i="2"/>
  <c r="D121" i="2"/>
  <c r="C121" i="2"/>
  <c r="B121" i="2"/>
  <c r="A121" i="2"/>
  <c r="D120" i="2"/>
  <c r="C120" i="2"/>
  <c r="B120" i="2"/>
  <c r="A120" i="2"/>
  <c r="D119" i="2"/>
  <c r="C119" i="2"/>
  <c r="B119" i="2"/>
  <c r="A119" i="2"/>
  <c r="D118" i="2"/>
  <c r="C118" i="2"/>
  <c r="B118" i="2"/>
  <c r="A118" i="2"/>
  <c r="D117" i="2"/>
  <c r="C117" i="2"/>
  <c r="B117" i="2"/>
  <c r="A117" i="2"/>
  <c r="D116" i="2"/>
  <c r="C116" i="2"/>
  <c r="B116" i="2"/>
  <c r="A116" i="2"/>
  <c r="D115" i="2"/>
  <c r="C115" i="2"/>
  <c r="B115" i="2"/>
  <c r="A115" i="2"/>
  <c r="D114" i="2"/>
  <c r="C114" i="2"/>
  <c r="B114" i="2"/>
  <c r="A114" i="2"/>
  <c r="D113" i="2"/>
  <c r="C113" i="2"/>
  <c r="B113" i="2"/>
  <c r="A113" i="2"/>
  <c r="D112" i="2"/>
  <c r="C112" i="2"/>
  <c r="B112" i="2"/>
  <c r="A112" i="2"/>
  <c r="D111" i="2"/>
  <c r="C111" i="2"/>
  <c r="B111" i="2"/>
  <c r="A111" i="2"/>
  <c r="D110" i="2"/>
  <c r="C110" i="2"/>
  <c r="B110" i="2"/>
  <c r="A110" i="2"/>
  <c r="D109" i="2"/>
  <c r="C109" i="2"/>
  <c r="B109" i="2"/>
  <c r="A109" i="2"/>
  <c r="D108" i="2"/>
  <c r="C108" i="2"/>
  <c r="B108" i="2"/>
  <c r="A108" i="2"/>
  <c r="D107" i="2"/>
  <c r="C107" i="2"/>
  <c r="B107" i="2"/>
  <c r="A107" i="2"/>
  <c r="D106" i="2"/>
  <c r="C106" i="2"/>
  <c r="B106" i="2"/>
  <c r="A106" i="2"/>
  <c r="D105" i="2"/>
  <c r="C105" i="2"/>
  <c r="B105" i="2"/>
  <c r="A105" i="2"/>
  <c r="D104" i="2"/>
  <c r="C104" i="2"/>
  <c r="B104" i="2"/>
  <c r="A104" i="2"/>
  <c r="D103" i="2"/>
  <c r="C103" i="2"/>
  <c r="B103" i="2"/>
  <c r="A103" i="2"/>
  <c r="D102" i="2"/>
  <c r="C102" i="2"/>
  <c r="B102" i="2"/>
  <c r="A102" i="2"/>
  <c r="D101" i="2"/>
  <c r="C101" i="2"/>
  <c r="B101" i="2"/>
  <c r="A101" i="2"/>
  <c r="D100" i="2"/>
  <c r="C100" i="2"/>
  <c r="B100" i="2"/>
  <c r="A100" i="2"/>
  <c r="D99" i="2"/>
  <c r="C99" i="2"/>
  <c r="B99" i="2"/>
  <c r="A99" i="2"/>
  <c r="D98" i="2"/>
  <c r="C98" i="2"/>
  <c r="B98" i="2"/>
  <c r="A98" i="2"/>
  <c r="D97" i="2"/>
  <c r="C97" i="2"/>
  <c r="B97" i="2"/>
  <c r="A97" i="2"/>
  <c r="D96" i="2"/>
  <c r="C96" i="2"/>
  <c r="B96" i="2"/>
  <c r="A96" i="2"/>
  <c r="D95" i="2"/>
  <c r="C95" i="2"/>
  <c r="B95" i="2"/>
  <c r="A95" i="2"/>
  <c r="D94" i="2"/>
  <c r="C94" i="2"/>
  <c r="B94" i="2"/>
  <c r="A94" i="2"/>
  <c r="D93" i="2"/>
  <c r="C93" i="2"/>
  <c r="B93" i="2"/>
  <c r="A93" i="2"/>
  <c r="D92" i="2"/>
  <c r="C92" i="2"/>
  <c r="B92" i="2"/>
  <c r="A92" i="2"/>
  <c r="D91" i="2"/>
  <c r="C91" i="2"/>
  <c r="B91" i="2"/>
  <c r="A91" i="2"/>
  <c r="D90" i="2"/>
  <c r="C90" i="2"/>
  <c r="B90" i="2"/>
  <c r="A90" i="2"/>
  <c r="D89" i="2"/>
  <c r="C89" i="2"/>
  <c r="B89" i="2"/>
  <c r="A89" i="2"/>
  <c r="D88" i="2"/>
  <c r="C88" i="2"/>
  <c r="B88" i="2"/>
  <c r="A88" i="2"/>
  <c r="D87" i="2"/>
  <c r="C87" i="2"/>
  <c r="B87" i="2"/>
  <c r="A87" i="2"/>
  <c r="D86" i="2"/>
  <c r="C86" i="2"/>
  <c r="B86" i="2"/>
  <c r="A86" i="2"/>
  <c r="D85" i="2"/>
  <c r="C85" i="2"/>
  <c r="B85" i="2"/>
  <c r="A85" i="2"/>
  <c r="D84" i="2"/>
  <c r="C84" i="2"/>
  <c r="B84" i="2"/>
  <c r="A84" i="2"/>
  <c r="D83" i="2"/>
  <c r="C83" i="2"/>
  <c r="B83" i="2"/>
  <c r="A83" i="2"/>
  <c r="D82" i="2"/>
  <c r="C82" i="2"/>
  <c r="B82" i="2"/>
  <c r="A82" i="2"/>
  <c r="D81" i="2"/>
  <c r="C81" i="2"/>
  <c r="B81" i="2"/>
  <c r="A81" i="2"/>
  <c r="D80" i="2"/>
  <c r="C80" i="2"/>
  <c r="B80" i="2"/>
  <c r="A80" i="2"/>
  <c r="D79" i="2"/>
  <c r="C79" i="2"/>
  <c r="B79" i="2"/>
  <c r="A79" i="2"/>
  <c r="D78" i="2"/>
  <c r="C78" i="2"/>
  <c r="B78" i="2"/>
  <c r="A78" i="2"/>
  <c r="D77" i="2"/>
  <c r="C77" i="2"/>
  <c r="B77" i="2"/>
  <c r="A77" i="2"/>
  <c r="D76" i="2"/>
  <c r="C76" i="2"/>
  <c r="B76" i="2"/>
  <c r="A76" i="2"/>
  <c r="D75" i="2"/>
  <c r="C75" i="2"/>
  <c r="B75" i="2"/>
  <c r="A75" i="2"/>
  <c r="D74" i="2"/>
  <c r="C74" i="2"/>
  <c r="B74" i="2"/>
  <c r="A74" i="2"/>
  <c r="D73" i="2"/>
  <c r="C73" i="2"/>
  <c r="B73" i="2"/>
  <c r="A73" i="2"/>
  <c r="H72" i="2"/>
  <c r="D72" i="2"/>
  <c r="C72" i="2"/>
  <c r="B72" i="2"/>
  <c r="A72" i="2"/>
  <c r="H71" i="2"/>
  <c r="D71" i="2"/>
  <c r="C71" i="2"/>
  <c r="B71" i="2"/>
  <c r="A71" i="2"/>
  <c r="H70" i="2"/>
  <c r="D70" i="2"/>
  <c r="C70" i="2"/>
  <c r="B70" i="2"/>
  <c r="A70" i="2"/>
  <c r="H69" i="2"/>
  <c r="D69" i="2"/>
  <c r="C69" i="2"/>
  <c r="B69" i="2"/>
  <c r="A69" i="2"/>
  <c r="D68" i="2"/>
  <c r="C68" i="2"/>
  <c r="B68" i="2"/>
  <c r="A68" i="2"/>
  <c r="D67" i="2"/>
  <c r="C67" i="2"/>
  <c r="B67" i="2"/>
  <c r="A67" i="2"/>
  <c r="D66" i="2"/>
  <c r="C66" i="2"/>
  <c r="B66" i="2"/>
  <c r="A66" i="2"/>
  <c r="D65" i="2"/>
  <c r="C65" i="2"/>
  <c r="B65" i="2"/>
  <c r="A65" i="2"/>
  <c r="D64" i="2"/>
  <c r="C64" i="2"/>
  <c r="B64" i="2"/>
  <c r="A64" i="2"/>
  <c r="D63" i="2"/>
  <c r="C63" i="2"/>
  <c r="B63" i="2"/>
  <c r="A63" i="2"/>
  <c r="D62" i="2"/>
  <c r="C62" i="2"/>
  <c r="B62" i="2"/>
  <c r="A62" i="2"/>
  <c r="D61" i="2"/>
  <c r="C61" i="2"/>
  <c r="B61" i="2"/>
  <c r="A61" i="2"/>
  <c r="D60" i="2"/>
  <c r="C60" i="2"/>
  <c r="B60" i="2"/>
  <c r="A60" i="2"/>
  <c r="D59" i="2"/>
  <c r="C59" i="2"/>
  <c r="B59" i="2"/>
  <c r="A59" i="2"/>
  <c r="D58" i="2"/>
  <c r="C58" i="2"/>
  <c r="B58" i="2"/>
  <c r="A58" i="2"/>
  <c r="D57" i="2"/>
  <c r="C57" i="2"/>
  <c r="B57" i="2"/>
  <c r="A57" i="2"/>
  <c r="D56" i="2"/>
  <c r="C56" i="2"/>
  <c r="B56" i="2"/>
  <c r="A56" i="2"/>
  <c r="D55" i="2"/>
  <c r="C55" i="2"/>
  <c r="B55" i="2"/>
  <c r="A55" i="2"/>
  <c r="D54" i="2"/>
  <c r="C54" i="2"/>
  <c r="B54" i="2"/>
  <c r="A54" i="2"/>
  <c r="D53" i="2"/>
  <c r="C53" i="2"/>
  <c r="B53" i="2"/>
  <c r="A53" i="2"/>
  <c r="D52" i="2"/>
  <c r="C52" i="2"/>
  <c r="B52" i="2"/>
  <c r="A52" i="2"/>
  <c r="D51" i="2"/>
  <c r="C51" i="2"/>
  <c r="B51" i="2"/>
  <c r="A51" i="2"/>
  <c r="D50" i="2"/>
  <c r="C50" i="2"/>
  <c r="B50" i="2"/>
  <c r="A50" i="2"/>
  <c r="D49" i="2"/>
  <c r="C49" i="2"/>
  <c r="B49" i="2"/>
  <c r="A49" i="2"/>
  <c r="D48" i="2"/>
  <c r="C48" i="2"/>
  <c r="B48" i="2"/>
  <c r="A48" i="2"/>
  <c r="D47" i="2"/>
  <c r="C47" i="2"/>
  <c r="B47" i="2"/>
  <c r="A47" i="2"/>
  <c r="D46" i="2"/>
  <c r="C46" i="2"/>
  <c r="B46" i="2"/>
  <c r="A46" i="2"/>
  <c r="D45" i="2"/>
  <c r="C45" i="2"/>
  <c r="B45" i="2"/>
  <c r="A45" i="2"/>
  <c r="D44" i="2"/>
  <c r="C44" i="2"/>
  <c r="B44" i="2"/>
  <c r="A44" i="2"/>
  <c r="D43" i="2"/>
  <c r="C43" i="2"/>
  <c r="B43" i="2"/>
  <c r="A43" i="2"/>
  <c r="D42" i="2"/>
  <c r="C42" i="2"/>
  <c r="B42" i="2"/>
  <c r="A42" i="2"/>
  <c r="D41" i="2"/>
  <c r="C41" i="2"/>
  <c r="B41" i="2"/>
  <c r="A41" i="2"/>
  <c r="D40" i="2"/>
  <c r="C40" i="2"/>
  <c r="B40" i="2"/>
  <c r="A40" i="2"/>
  <c r="D39" i="2"/>
  <c r="C39" i="2"/>
  <c r="B39" i="2"/>
  <c r="A39" i="2"/>
  <c r="D38" i="2"/>
  <c r="C38" i="2"/>
  <c r="B38" i="2"/>
  <c r="A38" i="2"/>
  <c r="D37" i="2"/>
  <c r="C37" i="2"/>
  <c r="B37" i="2"/>
  <c r="A37" i="2"/>
  <c r="D36" i="2"/>
  <c r="C36" i="2"/>
  <c r="B36" i="2"/>
  <c r="A36" i="2"/>
  <c r="D35" i="2"/>
  <c r="C35" i="2"/>
  <c r="B35" i="2"/>
  <c r="A35" i="2"/>
  <c r="D34" i="2"/>
  <c r="C34" i="2"/>
  <c r="B34" i="2"/>
  <c r="A34" i="2"/>
  <c r="D33" i="2"/>
  <c r="C33" i="2"/>
  <c r="B33" i="2"/>
  <c r="C23" i="2"/>
  <c r="C22" i="2"/>
  <c r="C21" i="2"/>
  <c r="C20" i="2"/>
  <c r="C19" i="2"/>
  <c r="C18" i="2"/>
  <c r="C17" i="2"/>
  <c r="C16" i="2"/>
  <c r="C15" i="2"/>
  <c r="C14" i="2"/>
  <c r="C13" i="2"/>
  <c r="C12" i="2"/>
  <c r="C11" i="2"/>
  <c r="C10" i="2"/>
  <c r="C9" i="2"/>
  <c r="C8" i="2"/>
  <c r="C7" i="2"/>
  <c r="C6" i="2"/>
  <c r="C5" i="2"/>
  <c r="C4" i="2"/>
  <c r="C3" i="2"/>
  <c r="C2" i="2"/>
  <c r="D91" i="5"/>
  <c r="D89" i="5"/>
  <c r="D87" i="5"/>
  <c r="D85" i="5"/>
  <c r="D83" i="5"/>
  <c r="D81" i="5"/>
  <c r="D79" i="5"/>
  <c r="D77" i="5"/>
  <c r="D75" i="5"/>
  <c r="D73" i="5"/>
  <c r="D70" i="5"/>
  <c r="D69" i="5"/>
  <c r="D68" i="5"/>
  <c r="E66" i="5"/>
  <c r="D66" i="5"/>
  <c r="D64" i="5"/>
  <c r="E62" i="5"/>
  <c r="D62" i="5"/>
  <c r="D61" i="5"/>
  <c r="E59" i="5"/>
  <c r="E58" i="5"/>
  <c r="D58" i="5"/>
  <c r="E57" i="5"/>
  <c r="E56" i="5"/>
  <c r="D56" i="5"/>
  <c r="E54" i="5"/>
  <c r="D54" i="5"/>
  <c r="E53" i="5"/>
  <c r="D53" i="5"/>
  <c r="E52" i="5"/>
  <c r="D50" i="5"/>
  <c r="E49" i="5"/>
  <c r="D49" i="5"/>
  <c r="E48" i="5"/>
  <c r="E47" i="5"/>
  <c r="D47" i="5"/>
  <c r="D46" i="5"/>
  <c r="E43" i="5"/>
  <c r="E42" i="5"/>
  <c r="E41" i="5"/>
  <c r="E40" i="5"/>
  <c r="E39" i="5"/>
  <c r="D39" i="5"/>
  <c r="C332" i="1"/>
  <c r="C331" i="1"/>
  <c r="C330" i="1"/>
  <c r="C329" i="1"/>
  <c r="C328" i="1"/>
  <c r="C327" i="1"/>
  <c r="C325" i="1"/>
  <c r="C324" i="1"/>
  <c r="A322" i="1"/>
  <c r="C314" i="1"/>
  <c r="C313" i="1"/>
  <c r="C312" i="1"/>
  <c r="C310" i="1"/>
  <c r="C308" i="1"/>
  <c r="C270" i="1"/>
  <c r="C268" i="1"/>
  <c r="C139" i="1"/>
  <c r="C138" i="1"/>
  <c r="C137" i="1"/>
  <c r="C136" i="1"/>
  <c r="C135" i="1"/>
  <c r="C134" i="1"/>
  <c r="C133" i="1"/>
  <c r="C130" i="1"/>
  <c r="C168" i="1" s="1"/>
  <c r="H85" i="2" s="1"/>
  <c r="C126" i="1"/>
  <c r="C118" i="1"/>
  <c r="C117" i="1"/>
  <c r="D71" i="5" s="1"/>
  <c r="C116" i="1"/>
  <c r="A115" i="1"/>
  <c r="C114" i="1"/>
  <c r="C112" i="1"/>
  <c r="C111" i="1"/>
  <c r="C105" i="1"/>
  <c r="C100" i="1"/>
  <c r="C98" i="1"/>
  <c r="C97" i="1"/>
  <c r="C99" i="1" s="1"/>
  <c r="C89" i="1"/>
  <c r="C88" i="1"/>
  <c r="C90" i="1" s="1"/>
  <c r="C87" i="1"/>
  <c r="C79" i="1"/>
  <c r="C78" i="1"/>
  <c r="C73" i="1"/>
  <c r="C72" i="1"/>
  <c r="C71" i="1"/>
  <c r="C70" i="1"/>
  <c r="C61" i="1"/>
  <c r="D57" i="5" s="1"/>
  <c r="C60" i="1"/>
  <c r="C56" i="1"/>
  <c r="C51" i="1"/>
  <c r="E48" i="1"/>
  <c r="C42" i="1"/>
  <c r="D41" i="5" s="1"/>
  <c r="C34" i="1"/>
  <c r="D40" i="5" s="1"/>
  <c r="C32" i="1"/>
  <c r="C33" i="1" s="1"/>
  <c r="C31" i="1"/>
  <c r="C30" i="1"/>
  <c r="C29" i="1"/>
  <c r="C315" i="1" s="1"/>
  <c r="C28" i="1"/>
  <c r="C18" i="1"/>
  <c r="E16" i="1"/>
  <c r="E15" i="1"/>
  <c r="C132" i="1" l="1"/>
  <c r="D286" i="2"/>
  <c r="C131" i="1"/>
  <c r="C140" i="1"/>
  <c r="D373" i="2"/>
  <c r="D278" i="2"/>
  <c r="D305" i="2"/>
  <c r="D313" i="2"/>
  <c r="H76" i="2"/>
  <c r="H105" i="2" s="1"/>
  <c r="D366" i="2"/>
  <c r="D279" i="2"/>
  <c r="D297" i="2"/>
  <c r="D358" i="2"/>
  <c r="D350" i="2"/>
  <c r="D289" i="2"/>
  <c r="D309" i="2"/>
  <c r="D317" i="2"/>
  <c r="D352" i="2"/>
  <c r="D378" i="2"/>
  <c r="D326" i="2"/>
  <c r="D359" i="2"/>
  <c r="D370" i="2"/>
  <c r="H74" i="2"/>
  <c r="D310" i="2"/>
  <c r="D318" i="2"/>
  <c r="D345" i="2"/>
  <c r="D353" i="2"/>
  <c r="H95" i="2"/>
  <c r="D333" i="2"/>
  <c r="D377" i="2"/>
  <c r="D369" i="2"/>
  <c r="D293" i="2"/>
  <c r="D285" i="2"/>
  <c r="D319" i="2"/>
  <c r="D337" i="2"/>
  <c r="D346" i="2"/>
  <c r="D277" i="2"/>
  <c r="D312" i="2"/>
  <c r="D329" i="2"/>
  <c r="C41" i="1"/>
  <c r="D42" i="5" s="1"/>
  <c r="C43" i="1"/>
  <c r="D52" i="5"/>
  <c r="D59" i="5"/>
  <c r="C91" i="1"/>
  <c r="C52" i="1"/>
  <c r="D45" i="5" s="1"/>
  <c r="D48" i="5"/>
  <c r="C50" i="1"/>
  <c r="C58" i="1" s="1"/>
  <c r="C102" i="1"/>
  <c r="C103" i="1" s="1"/>
  <c r="E14" i="1"/>
  <c r="C57" i="1"/>
  <c r="C95" i="1" s="1"/>
  <c r="D330" i="2"/>
  <c r="D338" i="2"/>
  <c r="D306" i="2"/>
  <c r="D290" i="2"/>
  <c r="D298" i="2"/>
  <c r="D339" i="2"/>
  <c r="D372" i="2"/>
  <c r="D273" i="2"/>
  <c r="D379" i="2"/>
  <c r="D299" i="2"/>
  <c r="D332" i="2"/>
  <c r="D365" i="2"/>
  <c r="D349" i="2"/>
  <c r="D357" i="2"/>
  <c r="D382" i="2"/>
  <c r="D362" i="2"/>
  <c r="D342" i="2"/>
  <c r="D322" i="2"/>
  <c r="D302" i="2"/>
  <c r="D282" i="2"/>
  <c r="D375" i="2"/>
  <c r="D355" i="2"/>
  <c r="D335" i="2"/>
  <c r="D315" i="2"/>
  <c r="D295" i="2"/>
  <c r="D275" i="2"/>
  <c r="C261" i="1"/>
  <c r="D368" i="2"/>
  <c r="D348" i="2"/>
  <c r="D328" i="2"/>
  <c r="D308" i="2"/>
  <c r="D288" i="2"/>
  <c r="D381" i="2"/>
  <c r="D361" i="2"/>
  <c r="D341" i="2"/>
  <c r="D321" i="2"/>
  <c r="D301" i="2"/>
  <c r="D281" i="2"/>
  <c r="H101" i="2"/>
  <c r="D360" i="2"/>
  <c r="D340" i="2"/>
  <c r="D320" i="2"/>
  <c r="D300" i="2"/>
  <c r="D280" i="2"/>
  <c r="D374" i="2"/>
  <c r="D354" i="2"/>
  <c r="D334" i="2"/>
  <c r="D314" i="2"/>
  <c r="D294" i="2"/>
  <c r="D274" i="2"/>
  <c r="D367" i="2"/>
  <c r="D347" i="2"/>
  <c r="D327" i="2"/>
  <c r="D307" i="2"/>
  <c r="D287" i="2"/>
  <c r="D380" i="2"/>
  <c r="D371" i="2"/>
  <c r="D351" i="2"/>
  <c r="D331" i="2"/>
  <c r="D311" i="2"/>
  <c r="D291" i="2"/>
  <c r="D364" i="2"/>
  <c r="D344" i="2"/>
  <c r="D324" i="2"/>
  <c r="D304" i="2"/>
  <c r="D284" i="2"/>
  <c r="D363" i="2"/>
  <c r="D343" i="2"/>
  <c r="D323" i="2"/>
  <c r="D303" i="2"/>
  <c r="D283" i="2"/>
  <c r="D376" i="2"/>
  <c r="D356" i="2"/>
  <c r="D336" i="2"/>
  <c r="D316" i="2"/>
  <c r="D296" i="2"/>
  <c r="D276" i="2"/>
  <c r="D292" i="2"/>
  <c r="D325" i="2"/>
  <c r="C172" i="1" l="1"/>
  <c r="C171" i="1"/>
  <c r="C169" i="1"/>
  <c r="C170" i="1"/>
  <c r="C174" i="1" s="1"/>
  <c r="D43" i="5"/>
  <c r="C44" i="1"/>
  <c r="C266" i="1"/>
  <c r="C176" i="1"/>
  <c r="K256" i="2"/>
  <c r="K246" i="2"/>
  <c r="K236" i="2"/>
  <c r="K226" i="2"/>
  <c r="K216" i="2"/>
  <c r="K206" i="2"/>
  <c r="C263" i="1"/>
  <c r="C264" i="1" s="1"/>
  <c r="K205" i="2"/>
  <c r="K257" i="2"/>
  <c r="K247" i="2"/>
  <c r="K237" i="2"/>
  <c r="K227" i="2"/>
  <c r="K217" i="2"/>
  <c r="K207" i="2"/>
  <c r="K258" i="2"/>
  <c r="K248" i="2"/>
  <c r="K238" i="2"/>
  <c r="K228" i="2"/>
  <c r="K218" i="2"/>
  <c r="K208" i="2"/>
  <c r="K262" i="2"/>
  <c r="K252" i="2"/>
  <c r="K242" i="2"/>
  <c r="K232" i="2"/>
  <c r="K222" i="2"/>
  <c r="K212" i="2"/>
  <c r="K264" i="2"/>
  <c r="K254" i="2"/>
  <c r="K244" i="2"/>
  <c r="K234" i="2"/>
  <c r="K224" i="2"/>
  <c r="K214" i="2"/>
  <c r="K263" i="2"/>
  <c r="K231" i="2"/>
  <c r="K211" i="2"/>
  <c r="K259" i="2"/>
  <c r="K243" i="2"/>
  <c r="K250" i="2"/>
  <c r="K229" i="2"/>
  <c r="K253" i="2"/>
  <c r="K223" i="2"/>
  <c r="K245" i="2"/>
  <c r="K220" i="2"/>
  <c r="K261" i="2"/>
  <c r="K240" i="2"/>
  <c r="K215" i="2"/>
  <c r="K219" i="2"/>
  <c r="K209" i="2"/>
  <c r="K213" i="2"/>
  <c r="K260" i="2"/>
  <c r="K230" i="2"/>
  <c r="K249" i="2"/>
  <c r="K233" i="2"/>
  <c r="K241" i="2"/>
  <c r="K251" i="2"/>
  <c r="K235" i="2"/>
  <c r="K239" i="2"/>
  <c r="K221" i="2"/>
  <c r="K225" i="2"/>
  <c r="K210" i="2"/>
  <c r="K255" i="2"/>
  <c r="K265" i="2"/>
  <c r="M235" i="2" l="1"/>
  <c r="L235" i="2"/>
  <c r="L251" i="2"/>
  <c r="M251" i="2"/>
  <c r="M241" i="2"/>
  <c r="L241" i="2"/>
  <c r="M263" i="2"/>
  <c r="L263" i="2"/>
  <c r="M227" i="2"/>
  <c r="L227" i="2"/>
  <c r="L206" i="2"/>
  <c r="M206" i="2"/>
  <c r="M222" i="2"/>
  <c r="L222" i="2"/>
  <c r="L216" i="2"/>
  <c r="M216" i="2"/>
  <c r="M261" i="2"/>
  <c r="L261" i="2"/>
  <c r="M232" i="2"/>
  <c r="L232" i="2"/>
  <c r="M226" i="2"/>
  <c r="L226" i="2"/>
  <c r="M220" i="2"/>
  <c r="L220" i="2"/>
  <c r="M242" i="2"/>
  <c r="L242" i="2"/>
  <c r="L236" i="2"/>
  <c r="M236" i="2"/>
  <c r="L246" i="2"/>
  <c r="M246" i="2"/>
  <c r="M256" i="2"/>
  <c r="L256" i="2"/>
  <c r="M208" i="2"/>
  <c r="L208" i="2"/>
  <c r="M218" i="2"/>
  <c r="L218" i="2"/>
  <c r="D226" i="2"/>
  <c r="D220" i="2"/>
  <c r="D237" i="2"/>
  <c r="D257" i="2"/>
  <c r="D227" i="2"/>
  <c r="D256" i="2"/>
  <c r="D248" i="2"/>
  <c r="D236" i="2"/>
  <c r="D212" i="2"/>
  <c r="D238" i="2"/>
  <c r="D206" i="2"/>
  <c r="D205" i="2"/>
  <c r="D240" i="2"/>
  <c r="D230" i="2"/>
  <c r="D246" i="2"/>
  <c r="D232" i="2"/>
  <c r="D262" i="2"/>
  <c r="D218" i="2"/>
  <c r="D216" i="2"/>
  <c r="D253" i="2"/>
  <c r="D234" i="2"/>
  <c r="D265" i="2"/>
  <c r="D210" i="2"/>
  <c r="D233" i="2"/>
  <c r="D214" i="2"/>
  <c r="D222" i="2"/>
  <c r="D260" i="2"/>
  <c r="D215" i="2"/>
  <c r="D208" i="2"/>
  <c r="D251" i="2"/>
  <c r="D231" i="2"/>
  <c r="D258" i="2"/>
  <c r="D239" i="2"/>
  <c r="D247" i="2"/>
  <c r="D217" i="2"/>
  <c r="D209" i="2"/>
  <c r="D263" i="2"/>
  <c r="D243" i="2"/>
  <c r="D224" i="2"/>
  <c r="D255" i="2"/>
  <c r="D207" i="2"/>
  <c r="D245" i="2"/>
  <c r="D252" i="2"/>
  <c r="D223" i="2"/>
  <c r="D213" i="2"/>
  <c r="D250" i="2"/>
  <c r="D242" i="2"/>
  <c r="D259" i="2"/>
  <c r="D249" i="2"/>
  <c r="D229" i="2"/>
  <c r="D219" i="2"/>
  <c r="D244" i="2"/>
  <c r="D235" i="2"/>
  <c r="D225" i="2"/>
  <c r="D261" i="2"/>
  <c r="D241" i="2"/>
  <c r="D221" i="2"/>
  <c r="D211" i="2"/>
  <c r="D264" i="2"/>
  <c r="D254" i="2"/>
  <c r="D228" i="2"/>
  <c r="M248" i="2"/>
  <c r="L248" i="2"/>
  <c r="M258" i="2"/>
  <c r="L258" i="2"/>
  <c r="M207" i="2"/>
  <c r="L207" i="2"/>
  <c r="M233" i="2"/>
  <c r="L233" i="2"/>
  <c r="M214" i="2"/>
  <c r="L214" i="2"/>
  <c r="M224" i="2"/>
  <c r="L224" i="2"/>
  <c r="L260" i="2"/>
  <c r="M260" i="2"/>
  <c r="M247" i="2"/>
  <c r="L247" i="2"/>
  <c r="M244" i="2"/>
  <c r="L244" i="2"/>
  <c r="M209" i="2"/>
  <c r="L209" i="2"/>
  <c r="L254" i="2"/>
  <c r="M254" i="2"/>
  <c r="M219" i="2"/>
  <c r="L219" i="2"/>
  <c r="M215" i="2"/>
  <c r="L215" i="2"/>
  <c r="M240" i="2"/>
  <c r="L240" i="2"/>
  <c r="M245" i="2"/>
  <c r="L245" i="2"/>
  <c r="M255" i="2"/>
  <c r="L255" i="2"/>
  <c r="L262" i="2"/>
  <c r="M262" i="2"/>
  <c r="M253" i="2"/>
  <c r="L253" i="2"/>
  <c r="M229" i="2"/>
  <c r="L229" i="2"/>
  <c r="M221" i="2"/>
  <c r="L221" i="2"/>
  <c r="M250" i="2"/>
  <c r="L250" i="2"/>
  <c r="M228" i="2"/>
  <c r="L228" i="2"/>
  <c r="M259" i="2"/>
  <c r="L259" i="2"/>
  <c r="M211" i="2"/>
  <c r="L211" i="2"/>
  <c r="L231" i="2"/>
  <c r="M231" i="2"/>
  <c r="M217" i="2"/>
  <c r="L217" i="2"/>
  <c r="L249" i="2"/>
  <c r="M249" i="2"/>
  <c r="M230" i="2"/>
  <c r="L230" i="2"/>
  <c r="M237" i="2"/>
  <c r="L237" i="2"/>
  <c r="M234" i="2"/>
  <c r="L234" i="2"/>
  <c r="M213" i="2"/>
  <c r="L213" i="2"/>
  <c r="M257" i="2"/>
  <c r="L257" i="2"/>
  <c r="L205" i="2"/>
  <c r="M205" i="2"/>
  <c r="L264" i="2"/>
  <c r="M264" i="2"/>
  <c r="M212" i="2"/>
  <c r="L212" i="2"/>
  <c r="M265" i="2"/>
  <c r="L265" i="2"/>
  <c r="M252" i="2"/>
  <c r="L252" i="2"/>
  <c r="M223" i="2"/>
  <c r="L223" i="2"/>
  <c r="M210" i="2"/>
  <c r="L210" i="2"/>
  <c r="M225" i="2"/>
  <c r="L225" i="2"/>
  <c r="M239" i="2"/>
  <c r="L239" i="2"/>
  <c r="M243" i="2"/>
  <c r="L243" i="2"/>
  <c r="M238" i="2"/>
  <c r="L238" i="2"/>
  <c r="R257" i="2" l="1"/>
  <c r="O257" i="2"/>
  <c r="N257" i="2"/>
  <c r="O219" i="2"/>
  <c r="N219" i="2"/>
  <c r="R219" i="2"/>
  <c r="F233" i="2"/>
  <c r="E233" i="2"/>
  <c r="O254" i="2"/>
  <c r="N254" i="2"/>
  <c r="R254" i="2"/>
  <c r="F237" i="2"/>
  <c r="E237" i="2"/>
  <c r="R232" i="2"/>
  <c r="O232" i="2"/>
  <c r="N232" i="2"/>
  <c r="O239" i="2"/>
  <c r="N239" i="2"/>
  <c r="R239" i="2"/>
  <c r="R250" i="2"/>
  <c r="O250" i="2"/>
  <c r="N250" i="2"/>
  <c r="F265" i="2"/>
  <c r="E265" i="2"/>
  <c r="E207" i="2"/>
  <c r="F207" i="2"/>
  <c r="R261" i="2"/>
  <c r="O261" i="2"/>
  <c r="N261" i="2"/>
  <c r="O234" i="2"/>
  <c r="N234" i="2"/>
  <c r="R234" i="2"/>
  <c r="O209" i="2"/>
  <c r="N209" i="2"/>
  <c r="R209" i="2"/>
  <c r="E253" i="2"/>
  <c r="F253" i="2"/>
  <c r="F224" i="2"/>
  <c r="E224" i="2"/>
  <c r="O229" i="2"/>
  <c r="N229" i="2"/>
  <c r="R229" i="2"/>
  <c r="E243" i="2"/>
  <c r="F243" i="2"/>
  <c r="E263" i="2"/>
  <c r="F263" i="2"/>
  <c r="O208" i="2"/>
  <c r="N208" i="2"/>
  <c r="R208" i="2"/>
  <c r="R230" i="2"/>
  <c r="O230" i="2"/>
  <c r="N230" i="2"/>
  <c r="F241" i="2"/>
  <c r="E241" i="2"/>
  <c r="O206" i="2"/>
  <c r="N206" i="2"/>
  <c r="R206" i="2"/>
  <c r="R262" i="2"/>
  <c r="N262" i="2"/>
  <c r="O262" i="2"/>
  <c r="E246" i="2"/>
  <c r="F246" i="2"/>
  <c r="R252" i="2"/>
  <c r="O252" i="2"/>
  <c r="N252" i="2"/>
  <c r="F247" i="2"/>
  <c r="E247" i="2"/>
  <c r="F239" i="2"/>
  <c r="E239" i="2"/>
  <c r="N217" i="2"/>
  <c r="O217" i="2"/>
  <c r="R217" i="2"/>
  <c r="F244" i="2"/>
  <c r="E244" i="2"/>
  <c r="R236" i="2"/>
  <c r="O236" i="2"/>
  <c r="N236" i="2"/>
  <c r="F219" i="2"/>
  <c r="E219" i="2"/>
  <c r="R263" i="2"/>
  <c r="O263" i="2"/>
  <c r="N263" i="2"/>
  <c r="O214" i="2"/>
  <c r="R214" i="2"/>
  <c r="N214" i="2"/>
  <c r="F238" i="2"/>
  <c r="E238" i="2"/>
  <c r="E249" i="2"/>
  <c r="F249" i="2"/>
  <c r="F212" i="2"/>
  <c r="E212" i="2"/>
  <c r="R242" i="2"/>
  <c r="O242" i="2"/>
  <c r="N242" i="2"/>
  <c r="R241" i="2"/>
  <c r="N241" i="2"/>
  <c r="O241" i="2"/>
  <c r="R211" i="2"/>
  <c r="O211" i="2"/>
  <c r="N211" i="2"/>
  <c r="E259" i="2"/>
  <c r="F259" i="2"/>
  <c r="F236" i="2"/>
  <c r="E236" i="2"/>
  <c r="R251" i="2"/>
  <c r="N251" i="2"/>
  <c r="O251" i="2"/>
  <c r="O205" i="2"/>
  <c r="R205" i="2"/>
  <c r="N205" i="2"/>
  <c r="F242" i="2"/>
  <c r="E242" i="2"/>
  <c r="F260" i="2"/>
  <c r="E260" i="2"/>
  <c r="E248" i="2"/>
  <c r="F248" i="2"/>
  <c r="R220" i="2"/>
  <c r="O220" i="2"/>
  <c r="N220" i="2"/>
  <c r="O258" i="2"/>
  <c r="N258" i="2"/>
  <c r="R258" i="2"/>
  <c r="F257" i="2"/>
  <c r="E257" i="2"/>
  <c r="F210" i="2"/>
  <c r="E210" i="2"/>
  <c r="O248" i="2"/>
  <c r="N248" i="2"/>
  <c r="R248" i="2"/>
  <c r="F220" i="2"/>
  <c r="E220" i="2"/>
  <c r="F234" i="2"/>
  <c r="E234" i="2"/>
  <c r="R221" i="2"/>
  <c r="O221" i="2"/>
  <c r="N221" i="2"/>
  <c r="F255" i="2"/>
  <c r="E255" i="2"/>
  <c r="F264" i="2"/>
  <c r="E264" i="2"/>
  <c r="O218" i="2"/>
  <c r="N218" i="2"/>
  <c r="R218" i="2"/>
  <c r="O237" i="2"/>
  <c r="N237" i="2"/>
  <c r="R237" i="2"/>
  <c r="F211" i="2"/>
  <c r="E211" i="2"/>
  <c r="F221" i="2"/>
  <c r="E221" i="2"/>
  <c r="R222" i="2"/>
  <c r="O222" i="2"/>
  <c r="N222" i="2"/>
  <c r="O253" i="2"/>
  <c r="N253" i="2"/>
  <c r="R253" i="2"/>
  <c r="F209" i="2"/>
  <c r="E209" i="2"/>
  <c r="R260" i="2"/>
  <c r="N260" i="2"/>
  <c r="O260" i="2"/>
  <c r="F217" i="2"/>
  <c r="E217" i="2"/>
  <c r="F230" i="2"/>
  <c r="E230" i="2"/>
  <c r="F240" i="2"/>
  <c r="E240" i="2"/>
  <c r="O265" i="2"/>
  <c r="N265" i="2"/>
  <c r="R265" i="2"/>
  <c r="O224" i="2"/>
  <c r="N224" i="2"/>
  <c r="R224" i="2"/>
  <c r="F205" i="2"/>
  <c r="E205" i="2"/>
  <c r="R231" i="2"/>
  <c r="O231" i="2"/>
  <c r="N231" i="2"/>
  <c r="F231" i="2"/>
  <c r="E231" i="2"/>
  <c r="O245" i="2"/>
  <c r="N245" i="2"/>
  <c r="R245" i="2"/>
  <c r="F229" i="2"/>
  <c r="E229" i="2"/>
  <c r="O264" i="2"/>
  <c r="N264" i="2"/>
  <c r="R264" i="2"/>
  <c r="F208" i="2"/>
  <c r="E208" i="2"/>
  <c r="R240" i="2"/>
  <c r="N240" i="2"/>
  <c r="O240" i="2"/>
  <c r="R233" i="2"/>
  <c r="N233" i="2"/>
  <c r="O233" i="2"/>
  <c r="F215" i="2"/>
  <c r="E215" i="2"/>
  <c r="O238" i="2"/>
  <c r="N238" i="2"/>
  <c r="R238" i="2"/>
  <c r="O259" i="2"/>
  <c r="N259" i="2"/>
  <c r="R259" i="2"/>
  <c r="R215" i="2"/>
  <c r="O215" i="2"/>
  <c r="N215" i="2"/>
  <c r="O207" i="2"/>
  <c r="N207" i="2"/>
  <c r="R207" i="2"/>
  <c r="F250" i="2"/>
  <c r="E250" i="2"/>
  <c r="F222" i="2"/>
  <c r="E222" i="2"/>
  <c r="E256" i="2"/>
  <c r="F256" i="2"/>
  <c r="R243" i="2"/>
  <c r="O243" i="2"/>
  <c r="N243" i="2"/>
  <c r="O228" i="2"/>
  <c r="N228" i="2"/>
  <c r="R228" i="2"/>
  <c r="E223" i="2"/>
  <c r="F223" i="2"/>
  <c r="F252" i="2"/>
  <c r="E252" i="2"/>
  <c r="N213" i="2"/>
  <c r="R213" i="2"/>
  <c r="O213" i="2"/>
  <c r="F245" i="2"/>
  <c r="E245" i="2"/>
  <c r="F228" i="2"/>
  <c r="E228" i="2"/>
  <c r="F226" i="2"/>
  <c r="E226" i="2"/>
  <c r="R225" i="2"/>
  <c r="O225" i="2"/>
  <c r="N225" i="2"/>
  <c r="F254" i="2"/>
  <c r="E254" i="2"/>
  <c r="R216" i="2"/>
  <c r="O216" i="2"/>
  <c r="N216" i="2"/>
  <c r="F216" i="2"/>
  <c r="E216" i="2"/>
  <c r="R210" i="2"/>
  <c r="O210" i="2"/>
  <c r="N210" i="2"/>
  <c r="O244" i="2"/>
  <c r="N244" i="2"/>
  <c r="R244" i="2"/>
  <c r="E218" i="2"/>
  <c r="F218" i="2"/>
  <c r="F262" i="2"/>
  <c r="E262" i="2"/>
  <c r="O223" i="2"/>
  <c r="N223" i="2"/>
  <c r="R223" i="2"/>
  <c r="O247" i="2"/>
  <c r="R247" i="2"/>
  <c r="N247" i="2"/>
  <c r="F232" i="2"/>
  <c r="E232" i="2"/>
  <c r="O249" i="2"/>
  <c r="N249" i="2"/>
  <c r="R249" i="2"/>
  <c r="F261" i="2"/>
  <c r="E261" i="2"/>
  <c r="R256" i="2"/>
  <c r="O256" i="2"/>
  <c r="N256" i="2"/>
  <c r="F225" i="2"/>
  <c r="E225" i="2"/>
  <c r="R246" i="2"/>
  <c r="O246" i="2"/>
  <c r="N246" i="2"/>
  <c r="F235" i="2"/>
  <c r="E235" i="2"/>
  <c r="R227" i="2"/>
  <c r="O227" i="2"/>
  <c r="N227" i="2"/>
  <c r="R255" i="2"/>
  <c r="O255" i="2"/>
  <c r="N255" i="2"/>
  <c r="F258" i="2"/>
  <c r="E258" i="2"/>
  <c r="F206" i="2"/>
  <c r="E206" i="2"/>
  <c r="R212" i="2"/>
  <c r="O212" i="2"/>
  <c r="N212" i="2"/>
  <c r="E251" i="2"/>
  <c r="F251" i="2"/>
  <c r="E213" i="2"/>
  <c r="F213" i="2"/>
  <c r="F214" i="2"/>
  <c r="E214" i="2"/>
  <c r="E227" i="2"/>
  <c r="F227" i="2"/>
  <c r="R226" i="2"/>
  <c r="O226" i="2"/>
  <c r="N226" i="2"/>
  <c r="N235" i="2"/>
  <c r="R235" i="2"/>
  <c r="O235" i="2"/>
  <c r="S226" i="2" l="1"/>
  <c r="T226" i="2"/>
  <c r="S250" i="2"/>
  <c r="T250" i="2"/>
  <c r="T211" i="2"/>
  <c r="S211" i="2"/>
  <c r="S220" i="2"/>
  <c r="T220" i="2"/>
  <c r="T231" i="2"/>
  <c r="S231" i="2"/>
  <c r="T241" i="2"/>
  <c r="S241" i="2"/>
  <c r="T209" i="2"/>
  <c r="S209" i="2"/>
  <c r="T221" i="2"/>
  <c r="S221" i="2"/>
  <c r="T232" i="2"/>
  <c r="S232" i="2"/>
  <c r="T242" i="2"/>
  <c r="S242" i="2"/>
  <c r="S208" i="2"/>
  <c r="T208" i="2"/>
  <c r="T264" i="2"/>
  <c r="S264" i="2"/>
  <c r="T261" i="2"/>
  <c r="S261" i="2"/>
  <c r="S210" i="2"/>
  <c r="T210" i="2"/>
  <c r="T237" i="2"/>
  <c r="S237" i="2"/>
  <c r="S215" i="2"/>
  <c r="T215" i="2"/>
  <c r="T235" i="2"/>
  <c r="S235" i="2"/>
  <c r="T214" i="2"/>
  <c r="S214" i="2"/>
  <c r="S245" i="2"/>
  <c r="T245" i="2"/>
  <c r="S218" i="2"/>
  <c r="T218" i="2"/>
  <c r="T252" i="2"/>
  <c r="S252" i="2"/>
  <c r="T263" i="2"/>
  <c r="S263" i="2"/>
  <c r="T260" i="2"/>
  <c r="S260" i="2"/>
  <c r="T239" i="2"/>
  <c r="S239" i="2"/>
  <c r="T253" i="2"/>
  <c r="S253" i="2"/>
  <c r="S236" i="2"/>
  <c r="T236" i="2"/>
  <c r="T233" i="2"/>
  <c r="S233" i="2"/>
  <c r="T234" i="2"/>
  <c r="S234" i="2"/>
  <c r="S240" i="2"/>
  <c r="T240" i="2"/>
  <c r="T254" i="2"/>
  <c r="S254" i="2"/>
  <c r="S265" i="2"/>
  <c r="T265" i="2"/>
  <c r="S256" i="2"/>
  <c r="T256" i="2"/>
  <c r="S248" i="2"/>
  <c r="T248" i="2"/>
  <c r="T213" i="2"/>
  <c r="S213" i="2"/>
  <c r="T249" i="2"/>
  <c r="S249" i="2"/>
  <c r="T219" i="2"/>
  <c r="S219" i="2"/>
  <c r="T251" i="2"/>
  <c r="S251" i="2"/>
  <c r="T259" i="2"/>
  <c r="S259" i="2"/>
  <c r="S255" i="2"/>
  <c r="T255" i="2"/>
  <c r="S228" i="2"/>
  <c r="T228" i="2"/>
  <c r="S258" i="2"/>
  <c r="T258" i="2"/>
  <c r="T229" i="2"/>
  <c r="S229" i="2"/>
  <c r="T247" i="2"/>
  <c r="S247" i="2"/>
  <c r="T227" i="2"/>
  <c r="S227" i="2"/>
  <c r="T223" i="2"/>
  <c r="S223" i="2"/>
  <c r="T262" i="2"/>
  <c r="S262" i="2"/>
  <c r="T243" i="2"/>
  <c r="S243" i="2"/>
  <c r="S206" i="2"/>
  <c r="T206" i="2"/>
  <c r="T225" i="2"/>
  <c r="S225" i="2"/>
  <c r="S246" i="2"/>
  <c r="T246" i="2"/>
  <c r="T224" i="2"/>
  <c r="S224" i="2"/>
  <c r="T217" i="2"/>
  <c r="S217" i="2"/>
  <c r="T244" i="2"/>
  <c r="S244" i="2"/>
  <c r="T222" i="2"/>
  <c r="S222" i="2"/>
  <c r="T207" i="2"/>
  <c r="S207" i="2"/>
  <c r="S230" i="2"/>
  <c r="T230" i="2"/>
  <c r="T212" i="2"/>
  <c r="S212" i="2"/>
  <c r="T205" i="2"/>
  <c r="S205" i="2"/>
  <c r="S216" i="2"/>
  <c r="T216" i="2"/>
  <c r="S238" i="2"/>
  <c r="T238" i="2"/>
  <c r="T257" i="2"/>
  <c r="S257" i="2"/>
</calcChain>
</file>

<file path=xl/sharedStrings.xml><?xml version="1.0" encoding="utf-8"?>
<sst xmlns="http://schemas.openxmlformats.org/spreadsheetml/2006/main" count="699" uniqueCount="494">
  <si>
    <t>UCC28019 Design Calculator</t>
  </si>
  <si>
    <t>This spreadsheet guides the User through the design process for a CONTINUOUS CONDUCTION MODE PFC BOOST converter using the UCC28019 controller.</t>
  </si>
  <si>
    <t>1. The Macros must be ENABLED.</t>
  </si>
  <si>
    <t>2. The Analysis ToolPak Add-In must be checked.</t>
  </si>
  <si>
    <t>• This feature can be found in the Tools Menu or in Excel Options</t>
  </si>
  <si>
    <t>• Select Add-Ins</t>
  </si>
  <si>
    <t>3. Enter the desired design parameters in the YELLOW shaded boxes</t>
  </si>
  <si>
    <t>• These parameters include input and output voltages, output power, desired efficiency and power factor, along with part parameters, desired current and voltage ripple factors, etc.</t>
  </si>
  <si>
    <r>
      <rPr>
        <sz val="20"/>
        <rFont val="Arial"/>
        <family val="2"/>
      </rPr>
      <t>• The User must also iterarate a value for VCOMP that will result in a satisfactory M</t>
    </r>
    <r>
      <rPr>
        <vertAlign val="subscript"/>
        <sz val="20"/>
        <rFont val="Arial"/>
        <family val="2"/>
      </rPr>
      <t>1</t>
    </r>
    <r>
      <rPr>
        <sz val="20"/>
        <rFont val="Arial"/>
        <family val="2"/>
      </rPr>
      <t>M</t>
    </r>
    <r>
      <rPr>
        <vertAlign val="subscript"/>
        <sz val="20"/>
        <rFont val="Arial"/>
        <family val="2"/>
      </rPr>
      <t>2</t>
    </r>
    <r>
      <rPr>
        <sz val="20"/>
        <rFont val="Arial"/>
        <family val="2"/>
      </rPr>
      <t xml:space="preserve"> product.</t>
    </r>
  </si>
  <si>
    <t>4. The spreadsheet will calculate the ideal values and display the results in red type.</t>
  </si>
  <si>
    <t>5. Actual standard values must be entered for the spreadsheet to calculate the gain-phase plots.</t>
  </si>
  <si>
    <r>
      <rPr>
        <b/>
        <sz val="20"/>
        <color indexed="10"/>
        <rFont val="Arial"/>
        <family val="2"/>
      </rPr>
      <t>UCC28019 Design Calculator:</t>
    </r>
    <r>
      <rPr>
        <b/>
        <sz val="14"/>
        <rFont val="Arial"/>
        <family val="2"/>
      </rPr>
      <t xml:space="preserve">  </t>
    </r>
    <r>
      <rPr>
        <b/>
        <sz val="12"/>
        <rFont val="Arial"/>
        <family val="2"/>
      </rPr>
      <t>This spreadsheet guides the User through the design process of a</t>
    </r>
    <r>
      <rPr>
        <b/>
        <sz val="14"/>
        <rFont val="Arial"/>
        <family val="2"/>
      </rPr>
      <t xml:space="preserve"> </t>
    </r>
    <r>
      <rPr>
        <b/>
        <sz val="20"/>
        <color indexed="10"/>
        <rFont val="Arial"/>
        <family val="2"/>
      </rPr>
      <t>CONTINUOUS CONDUCTION MODE PFC</t>
    </r>
    <r>
      <rPr>
        <b/>
        <sz val="14"/>
        <color indexed="10"/>
        <rFont val="Arial"/>
        <family val="2"/>
      </rPr>
      <t xml:space="preserve"> Boost Converter</t>
    </r>
    <r>
      <rPr>
        <b/>
        <sz val="14"/>
        <rFont val="Arial"/>
        <family val="2"/>
      </rPr>
      <t xml:space="preserve"> </t>
    </r>
    <r>
      <rPr>
        <b/>
        <sz val="12"/>
        <rFont val="Arial"/>
        <family val="2"/>
      </rPr>
      <t>using</t>
    </r>
    <r>
      <rPr>
        <b/>
        <sz val="14"/>
        <rFont val="Arial"/>
        <family val="2"/>
      </rPr>
      <t xml:space="preserve"> </t>
    </r>
    <r>
      <rPr>
        <b/>
        <sz val="12"/>
        <rFont val="Arial"/>
        <family val="2"/>
      </rPr>
      <t>the</t>
    </r>
    <r>
      <rPr>
        <b/>
        <sz val="14"/>
        <rFont val="Arial"/>
        <family val="2"/>
      </rPr>
      <t xml:space="preserve"> UCC28019 Controller</t>
    </r>
  </si>
  <si>
    <t>TI Literature Number: SLUC069  Rev E</t>
  </si>
  <si>
    <t>Disclaimer</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</si>
  <si>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</si>
  <si>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Please enter design parameters and actual standard component values used into the</t>
  </si>
  <si>
    <t>shaded</t>
  </si>
  <si>
    <t xml:space="preserve">cells; </t>
  </si>
  <si>
    <r>
      <rPr>
        <b/>
        <sz val="12"/>
        <rFont val="Arial"/>
        <family val="2"/>
      </rPr>
      <t xml:space="preserve">Actual standard values used should be based upon the Calculated results which are shown in </t>
    </r>
    <r>
      <rPr>
        <b/>
        <sz val="12"/>
        <color indexed="10"/>
        <rFont val="Arial"/>
        <family val="2"/>
      </rPr>
      <t>RED</t>
    </r>
  </si>
  <si>
    <r>
      <rPr>
        <b/>
        <sz val="14"/>
        <rFont val="Arial"/>
        <family val="2"/>
      </rPr>
      <t>Be sure to have the</t>
    </r>
    <r>
      <rPr>
        <b/>
        <sz val="14"/>
        <color indexed="10"/>
        <rFont val="Arial"/>
        <family val="2"/>
      </rPr>
      <t xml:space="preserve"> </t>
    </r>
    <r>
      <rPr>
        <b/>
        <i/>
        <sz val="14"/>
        <color indexed="10"/>
        <rFont val="Arial"/>
        <family val="2"/>
      </rPr>
      <t>Analysis ToolPak</t>
    </r>
    <r>
      <rPr>
        <b/>
        <sz val="14"/>
        <color indexed="10"/>
        <rFont val="Arial"/>
        <family val="2"/>
      </rPr>
      <t xml:space="preserve"> </t>
    </r>
    <r>
      <rPr>
        <b/>
        <sz val="14"/>
        <rFont val="Arial"/>
        <family val="2"/>
      </rPr>
      <t>activated</t>
    </r>
  </si>
  <si>
    <t>OUTPUT:</t>
  </si>
  <si>
    <t>Maximum Output Power of PFC Stage:</t>
  </si>
  <si>
    <r>
      <rPr>
        <sz val="10"/>
        <rFont val="Arial"/>
        <family val="2"/>
      </rPr>
      <t>P</t>
    </r>
    <r>
      <rPr>
        <vertAlign val="subscript"/>
        <sz val="10"/>
        <rFont val="Arial"/>
        <family val="2"/>
      </rPr>
      <t>OUT(max)</t>
    </r>
  </si>
  <si>
    <t>W</t>
  </si>
  <si>
    <r>
      <rPr>
        <sz val="10"/>
        <rFont val="Arial"/>
        <family val="2"/>
      </rPr>
      <t>Output Voltage (Note: Must be &gt; V</t>
    </r>
    <r>
      <rPr>
        <vertAlign val="subscript"/>
        <sz val="10"/>
        <rFont val="Arial"/>
        <family val="2"/>
      </rPr>
      <t>IN_RECTIFIED(max)</t>
    </r>
    <r>
      <rPr>
        <sz val="10"/>
        <rFont val="Arial"/>
        <family val="2"/>
      </rPr>
      <t>):</t>
    </r>
  </si>
  <si>
    <r>
      <rPr>
        <sz val="10"/>
        <rFont val="Arial"/>
        <family val="2"/>
      </rPr>
      <t>V</t>
    </r>
    <r>
      <rPr>
        <vertAlign val="subscript"/>
        <sz val="10"/>
        <rFont val="Arial"/>
        <family val="2"/>
      </rPr>
      <t>OUT</t>
    </r>
  </si>
  <si>
    <t>V</t>
  </si>
  <si>
    <r>
      <rPr>
        <sz val="10"/>
        <rFont val="Arial"/>
        <family val="2"/>
      </rPr>
      <t>Target Power Factor, V</t>
    </r>
    <r>
      <rPr>
        <vertAlign val="subscript"/>
        <sz val="10"/>
        <rFont val="Arial"/>
        <family val="2"/>
      </rPr>
      <t>IN(nom)</t>
    </r>
    <r>
      <rPr>
        <sz val="10"/>
        <rFont val="Arial"/>
        <family val="2"/>
      </rPr>
      <t>, Full Load:</t>
    </r>
  </si>
  <si>
    <t>PF</t>
  </si>
  <si>
    <t>Predicted Efficiency:</t>
  </si>
  <si>
    <t>h</t>
  </si>
  <si>
    <t>Maximum Ambient Temperature:</t>
  </si>
  <si>
    <r>
      <rPr>
        <sz val="10"/>
        <rFont val="Arial"/>
        <family val="2"/>
      </rPr>
      <t>T</t>
    </r>
    <r>
      <rPr>
        <vertAlign val="subscript"/>
        <sz val="10"/>
        <rFont val="Arial"/>
        <family val="2"/>
      </rPr>
      <t>AMB(max)</t>
    </r>
  </si>
  <si>
    <r>
      <rPr>
        <sz val="10"/>
        <rFont val="Symbol"/>
        <charset val="2"/>
      </rPr>
      <t>°</t>
    </r>
    <r>
      <rPr>
        <sz val="10"/>
        <rFont val="Arial"/>
        <family val="2"/>
      </rPr>
      <t>C</t>
    </r>
  </si>
  <si>
    <t>Maximum Output Current of PFC Stage:</t>
  </si>
  <si>
    <r>
      <rPr>
        <sz val="10"/>
        <rFont val="Arial"/>
        <family val="2"/>
      </rPr>
      <t>I</t>
    </r>
    <r>
      <rPr>
        <vertAlign val="subscript"/>
        <sz val="10"/>
        <rFont val="Arial"/>
        <family val="2"/>
      </rPr>
      <t>OUT</t>
    </r>
  </si>
  <si>
    <t>A</t>
  </si>
  <si>
    <t>INPUT:</t>
  </si>
  <si>
    <t>Minimum Input Voltage from AC Line:</t>
  </si>
  <si>
    <r>
      <rPr>
        <sz val="10"/>
        <rFont val="Arial"/>
        <family val="2"/>
      </rPr>
      <t>V</t>
    </r>
    <r>
      <rPr>
        <vertAlign val="subscript"/>
        <sz val="10"/>
        <rFont val="Arial"/>
        <family val="2"/>
      </rPr>
      <t>IN(min)</t>
    </r>
  </si>
  <si>
    <r>
      <rPr>
        <sz val="10"/>
        <rFont val="Arial"/>
        <family val="2"/>
      </rPr>
      <t>V</t>
    </r>
    <r>
      <rPr>
        <vertAlign val="subscript"/>
        <sz val="10"/>
        <rFont val="Arial"/>
        <family val="2"/>
      </rPr>
      <t>RMS</t>
    </r>
  </si>
  <si>
    <t>Maximum Input Voltage from AC Line:</t>
  </si>
  <si>
    <r>
      <rPr>
        <sz val="10"/>
        <rFont val="Arial"/>
        <family val="2"/>
      </rPr>
      <t>V</t>
    </r>
    <r>
      <rPr>
        <vertAlign val="subscript"/>
        <sz val="10"/>
        <rFont val="Arial"/>
        <family val="2"/>
      </rPr>
      <t>IN(max)</t>
    </r>
  </si>
  <si>
    <t>Nominal Input Voltage from AC Line  (i.e.115 VRMS):</t>
  </si>
  <si>
    <r>
      <rPr>
        <sz val="10"/>
        <rFont val="Arial"/>
        <family val="2"/>
      </rPr>
      <t>V</t>
    </r>
    <r>
      <rPr>
        <vertAlign val="subscript"/>
        <sz val="10"/>
        <rFont val="Arial"/>
        <family val="2"/>
      </rPr>
      <t>IN(nom)</t>
    </r>
  </si>
  <si>
    <t>Input voltage at which the compensation will be optimized</t>
  </si>
  <si>
    <t>Minimum Line Frequency:</t>
  </si>
  <si>
    <r>
      <rPr>
        <sz val="10"/>
        <rFont val="Arial"/>
        <family val="2"/>
      </rPr>
      <t>f</t>
    </r>
    <r>
      <rPr>
        <vertAlign val="subscript"/>
        <sz val="10"/>
        <rFont val="Arial"/>
        <family val="2"/>
      </rPr>
      <t>LINE(min):</t>
    </r>
  </si>
  <si>
    <t>Hz</t>
  </si>
  <si>
    <t>Maximum Line Frequency:</t>
  </si>
  <si>
    <r>
      <rPr>
        <sz val="10"/>
        <rFont val="Arial"/>
        <family val="2"/>
      </rPr>
      <t>f</t>
    </r>
    <r>
      <rPr>
        <vertAlign val="subscript"/>
        <sz val="10"/>
        <rFont val="Arial"/>
        <family val="2"/>
      </rPr>
      <t>LINE(max):</t>
    </r>
  </si>
  <si>
    <t>Nominal Line Frequency (i.e. 50 Hz):</t>
  </si>
  <si>
    <r>
      <rPr>
        <sz val="10"/>
        <rFont val="Arial"/>
        <family val="2"/>
      </rPr>
      <t>f</t>
    </r>
    <r>
      <rPr>
        <vertAlign val="subscript"/>
        <sz val="10"/>
        <rFont val="Arial"/>
        <family val="2"/>
      </rPr>
      <t>LINE(nom)</t>
    </r>
  </si>
  <si>
    <t>HZ</t>
  </si>
  <si>
    <t>Minimum Rectified AC Line Voltage:</t>
  </si>
  <si>
    <r>
      <rPr>
        <sz val="10"/>
        <rFont val="Arial"/>
        <family val="2"/>
      </rPr>
      <t>V</t>
    </r>
    <r>
      <rPr>
        <vertAlign val="subscript"/>
        <sz val="10"/>
        <rFont val="Arial"/>
        <family val="2"/>
      </rPr>
      <t>IN_RECTIFIED(min)</t>
    </r>
  </si>
  <si>
    <t>Maximum Rectified AC Line Voltage:</t>
  </si>
  <si>
    <r>
      <rPr>
        <sz val="10"/>
        <rFont val="Arial"/>
        <family val="2"/>
      </rPr>
      <t>V</t>
    </r>
    <r>
      <rPr>
        <vertAlign val="subscript"/>
        <sz val="10"/>
        <rFont val="Arial"/>
        <family val="2"/>
      </rPr>
      <t>IN_RECTIFIED(max)</t>
    </r>
  </si>
  <si>
    <t>Maximum Input Power Drawn from the Line:</t>
  </si>
  <si>
    <r>
      <rPr>
        <sz val="10"/>
        <rFont val="Arial"/>
        <family val="2"/>
      </rPr>
      <t>P</t>
    </r>
    <r>
      <rPr>
        <vertAlign val="subscript"/>
        <sz val="10"/>
        <rFont val="Arial"/>
        <family val="2"/>
      </rPr>
      <t>IN(max)</t>
    </r>
  </si>
  <si>
    <t>Maximum RMS AC Line Current:</t>
  </si>
  <si>
    <r>
      <rPr>
        <sz val="10"/>
        <rFont val="Arial"/>
        <family val="2"/>
      </rPr>
      <t>I</t>
    </r>
    <r>
      <rPr>
        <vertAlign val="subscript"/>
        <sz val="10"/>
        <rFont val="Arial"/>
        <family val="2"/>
      </rPr>
      <t>IN_RMS(max)</t>
    </r>
  </si>
  <si>
    <t>Maximum Peak AC Line Current, assuming sinusoidal:</t>
  </si>
  <si>
    <r>
      <rPr>
        <sz val="10"/>
        <rFont val="Arial"/>
        <family val="2"/>
      </rPr>
      <t>I</t>
    </r>
    <r>
      <rPr>
        <vertAlign val="subscript"/>
        <sz val="10"/>
        <rFont val="Arial"/>
        <family val="2"/>
      </rPr>
      <t>IN_PEAK(max)</t>
    </r>
  </si>
  <si>
    <t>Maximum Average AC Line Current, assuming sinusoidal:</t>
  </si>
  <si>
    <r>
      <rPr>
        <sz val="10"/>
        <rFont val="Arial"/>
        <family val="2"/>
      </rPr>
      <t>I</t>
    </r>
    <r>
      <rPr>
        <vertAlign val="subscript"/>
        <sz val="10"/>
        <rFont val="Arial"/>
        <family val="2"/>
      </rPr>
      <t>IN_AVG(max)</t>
    </r>
  </si>
  <si>
    <t>Minimum Input Fuse Rating:</t>
  </si>
  <si>
    <r>
      <rPr>
        <sz val="10"/>
        <rFont val="Arial"/>
        <family val="2"/>
      </rPr>
      <t>I</t>
    </r>
    <r>
      <rPr>
        <vertAlign val="subscript"/>
        <sz val="10"/>
        <rFont val="Arial"/>
        <family val="2"/>
      </rPr>
      <t>FUSE</t>
    </r>
  </si>
  <si>
    <t>BRIDGE RECTIFIER:</t>
  </si>
  <si>
    <r>
      <rPr>
        <sz val="10"/>
        <rFont val="Arial"/>
        <family val="2"/>
      </rPr>
      <t>Bridge Rectifier Forward Voltage, at I</t>
    </r>
    <r>
      <rPr>
        <vertAlign val="subscript"/>
        <sz val="10"/>
        <rFont val="Arial"/>
        <family val="2"/>
      </rPr>
      <t>IN_PEAK(max)</t>
    </r>
    <r>
      <rPr>
        <sz val="10"/>
        <rFont val="Arial"/>
        <family val="2"/>
      </rPr>
      <t>:</t>
    </r>
  </si>
  <si>
    <r>
      <rPr>
        <sz val="10"/>
        <rFont val="Arial"/>
        <family val="2"/>
      </rPr>
      <t>V</t>
    </r>
    <r>
      <rPr>
        <vertAlign val="subscript"/>
        <sz val="10"/>
        <rFont val="Arial"/>
        <family val="2"/>
      </rPr>
      <t>F_BRIDGE</t>
    </r>
  </si>
  <si>
    <t>Bridge Rectifier Thermal Resistance, Junction to Case:</t>
  </si>
  <si>
    <r>
      <rPr>
        <sz val="10"/>
        <rFont val="Arial"/>
        <family val="2"/>
      </rPr>
      <t>R</t>
    </r>
    <r>
      <rPr>
        <vertAlign val="subscript"/>
        <sz val="10"/>
        <rFont val="Symbol"/>
        <charset val="2"/>
      </rPr>
      <t>q</t>
    </r>
    <r>
      <rPr>
        <vertAlign val="subscript"/>
        <sz val="10"/>
        <rFont val="Arial"/>
        <family val="2"/>
      </rPr>
      <t>JC(Bridge)</t>
    </r>
  </si>
  <si>
    <r>
      <rPr>
        <sz val="10"/>
        <rFont val="Symbol"/>
        <charset val="2"/>
      </rPr>
      <t>°</t>
    </r>
    <r>
      <rPr>
        <sz val="10"/>
        <rFont val="Arial"/>
        <family val="2"/>
      </rPr>
      <t>C/W</t>
    </r>
  </si>
  <si>
    <t>Bridge Rectifier Maximum Junction Temperature:</t>
  </si>
  <si>
    <r>
      <rPr>
        <sz val="10"/>
        <rFont val="Arial"/>
        <family val="2"/>
      </rPr>
      <t>T</t>
    </r>
    <r>
      <rPr>
        <vertAlign val="subscript"/>
        <sz val="10"/>
        <rFont val="Arial"/>
        <family val="2"/>
      </rPr>
      <t>J(max)</t>
    </r>
  </si>
  <si>
    <t>Bridge Rectifier Minimum Average Current Rating:</t>
  </si>
  <si>
    <r>
      <rPr>
        <sz val="10"/>
        <rFont val="Arial"/>
        <family val="2"/>
      </rPr>
      <t>I</t>
    </r>
    <r>
      <rPr>
        <vertAlign val="subscript"/>
        <sz val="10"/>
        <rFont val="Arial"/>
        <family val="2"/>
      </rPr>
      <t>BRIDGE(RATED)</t>
    </r>
  </si>
  <si>
    <t>Bridge Rectifier Minimum DC Blocking Voltage Rating:</t>
  </si>
  <si>
    <r>
      <rPr>
        <sz val="10"/>
        <rFont val="Arial"/>
        <family val="2"/>
      </rPr>
      <t>V</t>
    </r>
    <r>
      <rPr>
        <vertAlign val="subscript"/>
        <sz val="10"/>
        <rFont val="Arial"/>
        <family val="2"/>
      </rPr>
      <t>DC_BLOCKING(RATED</t>
    </r>
    <r>
      <rPr>
        <sz val="10"/>
        <rFont val="Arial"/>
        <family val="2"/>
      </rPr>
      <t>)</t>
    </r>
  </si>
  <si>
    <t>Bridge Rectifier Power Dissipation:</t>
  </si>
  <si>
    <r>
      <rPr>
        <sz val="10"/>
        <rFont val="Arial"/>
        <family val="2"/>
      </rPr>
      <t>P</t>
    </r>
    <r>
      <rPr>
        <vertAlign val="subscript"/>
        <sz val="10"/>
        <rFont val="Arial"/>
        <family val="2"/>
      </rPr>
      <t>BRIDGE</t>
    </r>
  </si>
  <si>
    <t>Required Heat Sink Thermal Impedance:</t>
  </si>
  <si>
    <r>
      <rPr>
        <sz val="10"/>
        <rFont val="Arial"/>
        <family val="2"/>
      </rPr>
      <t>R</t>
    </r>
    <r>
      <rPr>
        <vertAlign val="subscript"/>
        <sz val="10"/>
        <rFont val="Symbol"/>
        <charset val="2"/>
      </rPr>
      <t>q</t>
    </r>
    <r>
      <rPr>
        <vertAlign val="subscript"/>
        <sz val="10"/>
        <rFont val="Arial"/>
        <family val="2"/>
      </rPr>
      <t>HS_AMB(Bridge)</t>
    </r>
  </si>
  <si>
    <t>INPUT CAPACITOR:</t>
  </si>
  <si>
    <t>Inductor Peak-to-Peak Current Ripple Factor (i.e. 0.2 for 20%, 0.3 for 30%):</t>
  </si>
  <si>
    <r>
      <rPr>
        <sz val="10"/>
        <rFont val="Arial"/>
        <family val="2"/>
      </rPr>
      <t>L</t>
    </r>
    <r>
      <rPr>
        <vertAlign val="subscript"/>
        <sz val="10"/>
        <rFont val="Arial"/>
        <family val="2"/>
      </rPr>
      <t>I_ripple_factor</t>
    </r>
  </si>
  <si>
    <t>Maximum High Frequency Voltage Ripple Factor (i.e. 0.03 for 3%, 0.09 for 9%):</t>
  </si>
  <si>
    <r>
      <rPr>
        <sz val="10"/>
        <rFont val="Arial"/>
        <family val="2"/>
      </rPr>
      <t>V</t>
    </r>
    <r>
      <rPr>
        <vertAlign val="subscript"/>
        <sz val="10"/>
        <rFont val="Arial"/>
        <family val="2"/>
      </rPr>
      <t>Cin_ripple_factor</t>
    </r>
  </si>
  <si>
    <t>Maximum Allowable Inductor Current Ripple:</t>
  </si>
  <si>
    <r>
      <rPr>
        <sz val="10"/>
        <rFont val="Arial"/>
        <family val="2"/>
      </rPr>
      <t>I</t>
    </r>
    <r>
      <rPr>
        <vertAlign val="subscript"/>
        <sz val="10"/>
        <rFont val="Arial"/>
        <family val="2"/>
      </rPr>
      <t>RIPPLE</t>
    </r>
  </si>
  <si>
    <t>Maximum Inductor Voltage Ripple:</t>
  </si>
  <si>
    <r>
      <rPr>
        <sz val="10"/>
        <rFont val="Arial"/>
        <family val="2"/>
      </rPr>
      <t>V</t>
    </r>
    <r>
      <rPr>
        <vertAlign val="subscript"/>
        <sz val="10"/>
        <rFont val="Arial"/>
        <family val="2"/>
      </rPr>
      <t>IN_RIPPLE</t>
    </r>
  </si>
  <si>
    <t>Maximum Input Capacitor Value:</t>
  </si>
  <si>
    <r>
      <rPr>
        <b/>
        <sz val="10"/>
        <rFont val="Arial"/>
        <family val="2"/>
      </rPr>
      <t>C</t>
    </r>
    <r>
      <rPr>
        <b/>
        <vertAlign val="subscript"/>
        <sz val="10"/>
        <rFont val="Arial"/>
        <family val="2"/>
      </rPr>
      <t>IN</t>
    </r>
  </si>
  <si>
    <r>
      <rPr>
        <b/>
        <sz val="10"/>
        <rFont val="Symbol"/>
        <charset val="2"/>
      </rPr>
      <t>m</t>
    </r>
    <r>
      <rPr>
        <b/>
        <sz val="10"/>
        <rFont val="Arial"/>
        <family val="2"/>
      </rPr>
      <t>F</t>
    </r>
  </si>
  <si>
    <t>BOOST INDUCTOR DESIGN:</t>
  </si>
  <si>
    <t>Maximum Duty Cycle:</t>
  </si>
  <si>
    <r>
      <rPr>
        <sz val="10"/>
        <rFont val="Arial"/>
        <family val="2"/>
      </rPr>
      <t>DUTY</t>
    </r>
    <r>
      <rPr>
        <vertAlign val="subscript"/>
        <sz val="10"/>
        <rFont val="Arial"/>
        <family val="2"/>
      </rPr>
      <t>(max)</t>
    </r>
  </si>
  <si>
    <t>Maximum Inductor Peak Current:</t>
  </si>
  <si>
    <r>
      <rPr>
        <sz val="10"/>
        <rFont val="Arial"/>
        <family val="2"/>
      </rPr>
      <t>I</t>
    </r>
    <r>
      <rPr>
        <vertAlign val="subscript"/>
        <sz val="10"/>
        <rFont val="Arial"/>
        <family val="2"/>
      </rPr>
      <t>L_PEAK(max)</t>
    </r>
  </si>
  <si>
    <t>Minimum Boost Inductor Value:</t>
  </si>
  <si>
    <r>
      <rPr>
        <b/>
        <sz val="10"/>
        <rFont val="Arial"/>
        <family val="2"/>
      </rPr>
      <t>L</t>
    </r>
    <r>
      <rPr>
        <b/>
        <vertAlign val="subscript"/>
        <sz val="10"/>
        <rFont val="Arial"/>
        <family val="2"/>
      </rPr>
      <t>BST</t>
    </r>
  </si>
  <si>
    <t>mH</t>
  </si>
  <si>
    <t>Actual Boost Inductor Value Used:</t>
  </si>
  <si>
    <r>
      <rPr>
        <sz val="10"/>
        <rFont val="Arial"/>
        <family val="2"/>
      </rPr>
      <t>L</t>
    </r>
    <r>
      <rPr>
        <vertAlign val="subscript"/>
        <sz val="10"/>
        <rFont val="Arial"/>
        <family val="2"/>
      </rPr>
      <t>BST(actual)</t>
    </r>
  </si>
  <si>
    <t>Actual Maximum Inductor Ripple Current:</t>
  </si>
  <si>
    <r>
      <rPr>
        <sz val="10"/>
        <rFont val="Arial"/>
        <family val="2"/>
      </rPr>
      <t>I</t>
    </r>
    <r>
      <rPr>
        <vertAlign val="subscript"/>
        <sz val="10"/>
        <rFont val="Arial"/>
        <family val="2"/>
      </rPr>
      <t>RIPPLE(actual)</t>
    </r>
  </si>
  <si>
    <t>Actual Maximum Inductor Peak Current:</t>
  </si>
  <si>
    <r>
      <rPr>
        <sz val="10"/>
        <rFont val="Arial"/>
        <family val="2"/>
      </rPr>
      <t>I</t>
    </r>
    <r>
      <rPr>
        <vertAlign val="subscript"/>
        <sz val="10"/>
        <rFont val="Arial"/>
        <family val="2"/>
      </rPr>
      <t>L_PEAK(actual)</t>
    </r>
  </si>
  <si>
    <t>BOOST DIODE:</t>
  </si>
  <si>
    <r>
      <rPr>
        <sz val="10"/>
        <rFont val="Arial"/>
        <family val="2"/>
      </rPr>
      <t>Forward Voltage Drop, at I</t>
    </r>
    <r>
      <rPr>
        <vertAlign val="subscript"/>
        <sz val="10"/>
        <rFont val="Arial"/>
        <family val="2"/>
      </rPr>
      <t>L_PEAK(max)</t>
    </r>
    <r>
      <rPr>
        <sz val="10"/>
        <rFont val="Arial"/>
        <family val="2"/>
      </rPr>
      <t>,125</t>
    </r>
    <r>
      <rPr>
        <sz val="10"/>
        <rFont val="Symbol"/>
        <charset val="2"/>
      </rPr>
      <t>°</t>
    </r>
    <r>
      <rPr>
        <sz val="10"/>
        <rFont val="Arial"/>
        <family val="2"/>
      </rPr>
      <t>C</t>
    </r>
  </si>
  <si>
    <r>
      <rPr>
        <sz val="10"/>
        <rFont val="Arial"/>
        <family val="2"/>
      </rPr>
      <t>V</t>
    </r>
    <r>
      <rPr>
        <vertAlign val="subscript"/>
        <sz val="10"/>
        <rFont val="Arial"/>
        <family val="2"/>
      </rPr>
      <t>F</t>
    </r>
  </si>
  <si>
    <t>Reverse Recovery Charge:</t>
  </si>
  <si>
    <r>
      <rPr>
        <sz val="10"/>
        <rFont val="Arial"/>
        <family val="2"/>
      </rPr>
      <t>Q</t>
    </r>
    <r>
      <rPr>
        <vertAlign val="subscript"/>
        <sz val="10"/>
        <rFont val="Arial"/>
        <family val="2"/>
      </rPr>
      <t>RR</t>
    </r>
  </si>
  <si>
    <t>nC</t>
  </si>
  <si>
    <t>Boost Diode Maximum Junction Temperature:</t>
  </si>
  <si>
    <t>Boost Diode Thermal Resistance, Junction to Case:</t>
  </si>
  <si>
    <r>
      <rPr>
        <sz val="10"/>
        <rFont val="Arial"/>
        <family val="2"/>
      </rPr>
      <t>R</t>
    </r>
    <r>
      <rPr>
        <vertAlign val="subscript"/>
        <sz val="10"/>
        <rFont val="Symbol"/>
        <charset val="2"/>
      </rPr>
      <t>q</t>
    </r>
    <r>
      <rPr>
        <vertAlign val="subscript"/>
        <sz val="10"/>
        <rFont val="Arial"/>
        <family val="2"/>
      </rPr>
      <t>JC(Diode)</t>
    </r>
  </si>
  <si>
    <t>Boost Diode Thermal Resistance, Case to Heatsink:</t>
  </si>
  <si>
    <r>
      <rPr>
        <sz val="10"/>
        <rFont val="Arial"/>
        <family val="2"/>
      </rPr>
      <t>R</t>
    </r>
    <r>
      <rPr>
        <vertAlign val="subscript"/>
        <sz val="10"/>
        <rFont val="Symbol"/>
        <charset val="2"/>
      </rPr>
      <t>q</t>
    </r>
    <r>
      <rPr>
        <vertAlign val="subscript"/>
        <sz val="10"/>
        <rFont val="Arial"/>
        <family val="2"/>
      </rPr>
      <t>JC(Case_HS)</t>
    </r>
  </si>
  <si>
    <t>Boost Diode Conduction Losses:</t>
  </si>
  <si>
    <r>
      <rPr>
        <sz val="10"/>
        <rFont val="Arial"/>
        <family val="2"/>
      </rPr>
      <t>P</t>
    </r>
    <r>
      <rPr>
        <vertAlign val="subscript"/>
        <sz val="10"/>
        <rFont val="Arial"/>
        <family val="2"/>
      </rPr>
      <t>DIODE(cond)</t>
    </r>
  </si>
  <si>
    <t>Reverse Recovery Losses</t>
  </si>
  <si>
    <r>
      <rPr>
        <sz val="10"/>
        <rFont val="Arial"/>
        <family val="2"/>
      </rPr>
      <t>P</t>
    </r>
    <r>
      <rPr>
        <vertAlign val="subscript"/>
        <sz val="10"/>
        <rFont val="Arial"/>
        <family val="2"/>
      </rPr>
      <t>REVERSE</t>
    </r>
  </si>
  <si>
    <t>Total Boost Diode Losses:</t>
  </si>
  <si>
    <r>
      <rPr>
        <sz val="10"/>
        <rFont val="Arial"/>
        <family val="2"/>
      </rPr>
      <t>P</t>
    </r>
    <r>
      <rPr>
        <vertAlign val="subscript"/>
        <sz val="10"/>
        <rFont val="Arial"/>
        <family val="2"/>
      </rPr>
      <t>DIODE(total)</t>
    </r>
  </si>
  <si>
    <r>
      <rPr>
        <sz val="10"/>
        <rFont val="Arial"/>
        <family val="2"/>
      </rPr>
      <t>R</t>
    </r>
    <r>
      <rPr>
        <vertAlign val="subscript"/>
        <sz val="10"/>
        <rFont val="Symbol"/>
        <charset val="2"/>
      </rPr>
      <t>q</t>
    </r>
    <r>
      <rPr>
        <vertAlign val="subscript"/>
        <sz val="10"/>
        <rFont val="Arial"/>
        <family val="2"/>
      </rPr>
      <t>HS_AMB(Diode)</t>
    </r>
  </si>
  <si>
    <t>SWITCHING ELEMENT:</t>
  </si>
  <si>
    <t>VCC Bias Voltage to the UCC28019:</t>
  </si>
  <si>
    <t>VCC</t>
  </si>
  <si>
    <t>Gate-Source Voltage:</t>
  </si>
  <si>
    <r>
      <rPr>
        <sz val="10"/>
        <rFont val="Arial"/>
        <family val="2"/>
      </rPr>
      <t>V</t>
    </r>
    <r>
      <rPr>
        <vertAlign val="subscript"/>
        <sz val="10"/>
        <rFont val="Arial"/>
        <family val="2"/>
      </rPr>
      <t>GS</t>
    </r>
  </si>
  <si>
    <t>Drain-Source RMS Current:</t>
  </si>
  <si>
    <r>
      <rPr>
        <sz val="10"/>
        <rFont val="Arial"/>
        <family val="2"/>
      </rPr>
      <t>I</t>
    </r>
    <r>
      <rPr>
        <vertAlign val="subscript"/>
        <sz val="10"/>
        <rFont val="Arial"/>
        <family val="2"/>
      </rPr>
      <t>DS_RMS</t>
    </r>
  </si>
  <si>
    <r>
      <rPr>
        <sz val="10"/>
        <rFont val="Arial"/>
        <family val="2"/>
      </rPr>
      <t>FET On-Resistance at  T</t>
    </r>
    <r>
      <rPr>
        <vertAlign val="subscript"/>
        <sz val="10"/>
        <rFont val="Arial"/>
        <family val="2"/>
      </rPr>
      <t>J</t>
    </r>
    <r>
      <rPr>
        <sz val="10"/>
        <rFont val="Arial"/>
        <family val="2"/>
      </rPr>
      <t xml:space="preserve"> = 125°C: </t>
    </r>
  </si>
  <si>
    <r>
      <rPr>
        <sz val="10"/>
        <rFont val="Arial"/>
        <family val="2"/>
      </rPr>
      <t>R</t>
    </r>
    <r>
      <rPr>
        <vertAlign val="subscript"/>
        <sz val="10"/>
        <rFont val="Arial"/>
        <family val="2"/>
      </rPr>
      <t>DSon</t>
    </r>
  </si>
  <si>
    <r>
      <rPr>
        <sz val="10"/>
        <rFont val="Arial"/>
        <family val="2"/>
      </rPr>
      <t>FET Gate Charge at V</t>
    </r>
    <r>
      <rPr>
        <vertAlign val="subscript"/>
        <sz val="10"/>
        <rFont val="Arial"/>
        <family val="2"/>
      </rPr>
      <t>GS:</t>
    </r>
  </si>
  <si>
    <r>
      <rPr>
        <sz val="10"/>
        <rFont val="Arial"/>
        <family val="2"/>
      </rPr>
      <t>Q</t>
    </r>
    <r>
      <rPr>
        <vertAlign val="subscript"/>
        <sz val="10"/>
        <rFont val="Arial"/>
        <family val="2"/>
      </rPr>
      <t>g</t>
    </r>
  </si>
  <si>
    <t>FET Rise Time:</t>
  </si>
  <si>
    <r>
      <rPr>
        <sz val="10"/>
        <rFont val="Arial"/>
        <family val="2"/>
      </rPr>
      <t>t</t>
    </r>
    <r>
      <rPr>
        <vertAlign val="subscript"/>
        <sz val="10"/>
        <rFont val="Arial"/>
        <family val="2"/>
      </rPr>
      <t>r</t>
    </r>
  </si>
  <si>
    <t>ns</t>
  </si>
  <si>
    <t>FET Fall Time:</t>
  </si>
  <si>
    <r>
      <rPr>
        <sz val="10"/>
        <rFont val="Arial"/>
        <family val="2"/>
      </rPr>
      <t>t</t>
    </r>
    <r>
      <rPr>
        <vertAlign val="subscript"/>
        <sz val="10"/>
        <rFont val="Arial"/>
        <family val="2"/>
      </rPr>
      <t>f</t>
    </r>
  </si>
  <si>
    <t>FET Output Capacitance:</t>
  </si>
  <si>
    <r>
      <rPr>
        <sz val="10"/>
        <rFont val="Arial"/>
        <family val="2"/>
      </rPr>
      <t>C</t>
    </r>
    <r>
      <rPr>
        <vertAlign val="subscript"/>
        <sz val="10"/>
        <rFont val="Arial"/>
        <family val="2"/>
      </rPr>
      <t>OSS</t>
    </r>
  </si>
  <si>
    <t>pF</t>
  </si>
  <si>
    <t>FET Maximum Junction Temperature:</t>
  </si>
  <si>
    <t>FET Thermal Resistance, Junction to Case:</t>
  </si>
  <si>
    <r>
      <rPr>
        <sz val="10"/>
        <rFont val="Arial"/>
        <family val="2"/>
      </rPr>
      <t>R</t>
    </r>
    <r>
      <rPr>
        <vertAlign val="subscript"/>
        <sz val="10"/>
        <rFont val="Symbol"/>
        <charset val="2"/>
      </rPr>
      <t>q</t>
    </r>
    <r>
      <rPr>
        <vertAlign val="subscript"/>
        <sz val="10"/>
        <rFont val="Arial"/>
        <family val="2"/>
      </rPr>
      <t>JC(FET)</t>
    </r>
  </si>
  <si>
    <t>Gate Drive Losses (actually dissipated in the gate drive circuitry):</t>
  </si>
  <si>
    <r>
      <rPr>
        <sz val="10"/>
        <rFont val="Arial"/>
        <family val="2"/>
      </rPr>
      <t>P</t>
    </r>
    <r>
      <rPr>
        <vertAlign val="subscript"/>
        <sz val="10"/>
        <rFont val="Arial"/>
        <family val="2"/>
      </rPr>
      <t>GATE</t>
    </r>
  </si>
  <si>
    <t>FET Conduction Losses:</t>
  </si>
  <si>
    <r>
      <rPr>
        <sz val="10"/>
        <rFont val="Arial"/>
        <family val="2"/>
      </rPr>
      <t>P</t>
    </r>
    <r>
      <rPr>
        <vertAlign val="subscript"/>
        <sz val="10"/>
        <rFont val="Arial"/>
        <family val="2"/>
      </rPr>
      <t>COND</t>
    </r>
  </si>
  <si>
    <t>FET Switching Losses:</t>
  </si>
  <si>
    <r>
      <rPr>
        <sz val="10"/>
        <rFont val="Arial"/>
        <family val="2"/>
      </rPr>
      <t>P</t>
    </r>
    <r>
      <rPr>
        <vertAlign val="subscript"/>
        <sz val="10"/>
        <rFont val="Arial"/>
        <family val="2"/>
      </rPr>
      <t>SW</t>
    </r>
  </si>
  <si>
    <t>FET Losses, Total:</t>
  </si>
  <si>
    <r>
      <rPr>
        <sz val="10"/>
        <rFont val="Arial"/>
        <family val="2"/>
      </rPr>
      <t>P</t>
    </r>
    <r>
      <rPr>
        <vertAlign val="subscript"/>
        <sz val="10"/>
        <rFont val="Arial"/>
        <family val="2"/>
      </rPr>
      <t>FET</t>
    </r>
  </si>
  <si>
    <r>
      <rPr>
        <sz val="10"/>
        <rFont val="Arial"/>
        <family val="2"/>
      </rPr>
      <t>R</t>
    </r>
    <r>
      <rPr>
        <vertAlign val="subscript"/>
        <sz val="10"/>
        <rFont val="Symbol"/>
        <charset val="2"/>
      </rPr>
      <t>q</t>
    </r>
    <r>
      <rPr>
        <vertAlign val="subscript"/>
        <sz val="10"/>
        <rFont val="Arial"/>
        <family val="2"/>
      </rPr>
      <t>HS_AMB(FET)</t>
    </r>
  </si>
  <si>
    <t>CURRENT SENSE RESISTOR:</t>
  </si>
  <si>
    <r>
      <rPr>
        <b/>
        <sz val="10"/>
        <rFont val="Arial"/>
        <family val="2"/>
      </rPr>
      <t>Ideal Value for R</t>
    </r>
    <r>
      <rPr>
        <b/>
        <vertAlign val="subscript"/>
        <sz val="10"/>
        <rFont val="Arial"/>
        <family val="2"/>
      </rPr>
      <t>SENSE</t>
    </r>
    <r>
      <rPr>
        <b/>
        <sz val="10"/>
        <rFont val="Arial"/>
        <family val="2"/>
      </rPr>
      <t>, for 110% Inductor SOC Threshold:</t>
    </r>
  </si>
  <si>
    <r>
      <rPr>
        <b/>
        <sz val="10"/>
        <rFont val="Arial"/>
        <family val="2"/>
      </rPr>
      <t>R</t>
    </r>
    <r>
      <rPr>
        <b/>
        <vertAlign val="subscript"/>
        <sz val="10"/>
        <rFont val="Arial"/>
        <family val="2"/>
      </rPr>
      <t>SENSE(ideal)</t>
    </r>
  </si>
  <si>
    <r>
      <rPr>
        <sz val="10"/>
        <rFont val="Arial"/>
        <family val="2"/>
      </rPr>
      <t>Actual Value for R</t>
    </r>
    <r>
      <rPr>
        <vertAlign val="subscript"/>
        <sz val="10"/>
        <rFont val="Arial"/>
        <family val="2"/>
      </rPr>
      <t>SENSE</t>
    </r>
    <r>
      <rPr>
        <sz val="10"/>
        <rFont val="Arial"/>
        <family val="2"/>
      </rPr>
      <t>: Current Sense Resistor</t>
    </r>
  </si>
  <si>
    <r>
      <rPr>
        <sz val="10"/>
        <rFont val="Arial"/>
        <family val="2"/>
      </rPr>
      <t>R</t>
    </r>
    <r>
      <rPr>
        <vertAlign val="subscript"/>
        <sz val="10"/>
        <rFont val="Arial"/>
        <family val="2"/>
      </rPr>
      <t>SENSE</t>
    </r>
  </si>
  <si>
    <t>Inductor Current at Soft Overcurrent Threshold:</t>
  </si>
  <si>
    <r>
      <rPr>
        <sz val="10"/>
        <rFont val="Arial"/>
        <family val="2"/>
      </rPr>
      <t>I</t>
    </r>
    <r>
      <rPr>
        <vertAlign val="subscript"/>
        <sz val="10"/>
        <rFont val="Arial"/>
        <family val="2"/>
      </rPr>
      <t>OVERCURRENT</t>
    </r>
    <r>
      <rPr>
        <sz val="10"/>
        <rFont val="Arial"/>
        <family val="2"/>
      </rPr>
      <t>_</t>
    </r>
    <r>
      <rPr>
        <vertAlign val="subscript"/>
        <sz val="10"/>
        <rFont val="Arial"/>
        <family val="2"/>
      </rPr>
      <t>SOC</t>
    </r>
  </si>
  <si>
    <r>
      <rPr>
        <sz val="10"/>
        <rFont val="Arial"/>
        <family val="2"/>
      </rPr>
      <t>Power Dissipated in R</t>
    </r>
    <r>
      <rPr>
        <vertAlign val="subscript"/>
        <sz val="10"/>
        <rFont val="Arial"/>
        <family val="2"/>
      </rPr>
      <t>SENSE</t>
    </r>
    <r>
      <rPr>
        <sz val="10"/>
        <rFont val="Arial"/>
        <family val="2"/>
      </rPr>
      <t>:</t>
    </r>
  </si>
  <si>
    <r>
      <rPr>
        <sz val="10"/>
        <rFont val="Arial"/>
        <family val="2"/>
      </rPr>
      <t>P</t>
    </r>
    <r>
      <rPr>
        <vertAlign val="subscript"/>
        <sz val="10"/>
        <rFont val="Arial"/>
        <family val="2"/>
      </rPr>
      <t>Rsense</t>
    </r>
  </si>
  <si>
    <t>Theoretical Output Overcurrent Inception Point:</t>
  </si>
  <si>
    <r>
      <rPr>
        <sz val="10"/>
        <rFont val="Arial"/>
        <family val="2"/>
      </rPr>
      <t>I</t>
    </r>
    <r>
      <rPr>
        <vertAlign val="subscript"/>
        <sz val="10"/>
        <rFont val="Arial"/>
        <family val="2"/>
      </rPr>
      <t>OUT_OVERCURRENT</t>
    </r>
  </si>
  <si>
    <t>ISENSE Peak Current Limit Threshold:</t>
  </si>
  <si>
    <r>
      <rPr>
        <sz val="10"/>
        <rFont val="Arial"/>
        <family val="2"/>
      </rPr>
      <t>I</t>
    </r>
    <r>
      <rPr>
        <vertAlign val="subscript"/>
        <sz val="10"/>
        <rFont val="Arial"/>
        <family val="2"/>
      </rPr>
      <t>PCL</t>
    </r>
  </si>
  <si>
    <r>
      <rPr>
        <sz val="10"/>
        <rFont val="Arial"/>
        <family val="2"/>
      </rPr>
      <t>Resistance of Thermistor at 25</t>
    </r>
    <r>
      <rPr>
        <sz val="10"/>
        <rFont val="Symbol"/>
        <charset val="2"/>
      </rPr>
      <t>°</t>
    </r>
    <r>
      <rPr>
        <sz val="10"/>
        <rFont val="Arial"/>
        <family val="2"/>
      </rPr>
      <t>C</t>
    </r>
  </si>
  <si>
    <r>
      <rPr>
        <sz val="10"/>
        <rFont val="Arial"/>
        <family val="2"/>
      </rPr>
      <t>R</t>
    </r>
    <r>
      <rPr>
        <vertAlign val="subscript"/>
        <sz val="10"/>
        <rFont val="Arial"/>
        <family val="2"/>
      </rPr>
      <t>THERM</t>
    </r>
  </si>
  <si>
    <t>Maximum Inrush Current:</t>
  </si>
  <si>
    <r>
      <rPr>
        <sz val="10"/>
        <rFont val="Arial"/>
        <family val="2"/>
      </rPr>
      <t>I</t>
    </r>
    <r>
      <rPr>
        <vertAlign val="subscript"/>
        <sz val="10"/>
        <rFont val="Arial"/>
        <family val="2"/>
      </rPr>
      <t>INRUSH</t>
    </r>
  </si>
  <si>
    <t>ISENSE Series Resistor:</t>
  </si>
  <si>
    <r>
      <rPr>
        <b/>
        <sz val="10"/>
        <rFont val="Arial"/>
        <family val="2"/>
      </rPr>
      <t>R</t>
    </r>
    <r>
      <rPr>
        <b/>
        <vertAlign val="subscript"/>
        <sz val="10"/>
        <rFont val="Arial"/>
        <family val="2"/>
      </rPr>
      <t>ISENSE</t>
    </r>
  </si>
  <si>
    <r>
      <rPr>
        <sz val="10"/>
        <rFont val="Arial"/>
        <family val="2"/>
      </rPr>
      <t>Actual Value for R</t>
    </r>
    <r>
      <rPr>
        <vertAlign val="subscript"/>
        <sz val="10"/>
        <rFont val="Arial"/>
        <family val="2"/>
      </rPr>
      <t>ISENSE</t>
    </r>
    <r>
      <rPr>
        <sz val="10"/>
        <rFont val="Arial"/>
        <family val="2"/>
      </rPr>
      <t>:</t>
    </r>
  </si>
  <si>
    <r>
      <rPr>
        <sz val="10"/>
        <rFont val="Arial"/>
        <family val="2"/>
      </rPr>
      <t>R</t>
    </r>
    <r>
      <rPr>
        <vertAlign val="subscript"/>
        <sz val="10"/>
        <rFont val="Arial"/>
        <family val="2"/>
      </rPr>
      <t>ISENSE(actual)</t>
    </r>
  </si>
  <si>
    <t>ISENSE Filter Capacitor:</t>
  </si>
  <si>
    <r>
      <rPr>
        <b/>
        <sz val="10"/>
        <rFont val="Arial"/>
        <family val="2"/>
      </rPr>
      <t>C</t>
    </r>
    <r>
      <rPr>
        <b/>
        <vertAlign val="subscript"/>
        <sz val="10"/>
        <rFont val="Arial"/>
        <family val="2"/>
      </rPr>
      <t>ISENSE</t>
    </r>
  </si>
  <si>
    <t>OUTPUT CAPACITOR:</t>
  </si>
  <si>
    <t>Required Minimum Output Voltage:</t>
  </si>
  <si>
    <r>
      <rPr>
        <sz val="10"/>
        <rFont val="Arial"/>
        <family val="2"/>
      </rPr>
      <t>V</t>
    </r>
    <r>
      <rPr>
        <vertAlign val="subscript"/>
        <sz val="10"/>
        <rFont val="Arial"/>
        <family val="2"/>
      </rPr>
      <t>OUT_HOLDUP(min)</t>
    </r>
  </si>
  <si>
    <t>Desired Number of Line Cycles For Output Holdup Time  (typ one line cycle):</t>
  </si>
  <si>
    <r>
      <rPr>
        <sz val="10"/>
        <rFont val="Arial"/>
        <family val="2"/>
      </rPr>
      <t>N</t>
    </r>
    <r>
      <rPr>
        <vertAlign val="subscript"/>
        <sz val="10"/>
        <rFont val="Arial"/>
        <family val="2"/>
      </rPr>
      <t>HOLD_UP</t>
    </r>
  </si>
  <si>
    <t>Minimum Output Voltage Holdup Time</t>
  </si>
  <si>
    <r>
      <rPr>
        <sz val="10"/>
        <rFont val="Arial"/>
        <family val="2"/>
      </rPr>
      <t>t</t>
    </r>
    <r>
      <rPr>
        <vertAlign val="subscript"/>
        <sz val="10"/>
        <rFont val="Arial"/>
        <family val="2"/>
      </rPr>
      <t>Hold_UP(min)</t>
    </r>
  </si>
  <si>
    <t>ms</t>
  </si>
  <si>
    <t>Recommended Minimum Output Capacitor Value:</t>
  </si>
  <si>
    <r>
      <rPr>
        <b/>
        <sz val="10"/>
        <rFont val="Arial"/>
        <family val="2"/>
      </rPr>
      <t>C</t>
    </r>
    <r>
      <rPr>
        <b/>
        <vertAlign val="subscript"/>
        <sz val="10"/>
        <rFont val="Arial"/>
        <family val="2"/>
      </rPr>
      <t>OUT</t>
    </r>
  </si>
  <si>
    <t>Actual Output Capacitor Value:</t>
  </si>
  <si>
    <r>
      <rPr>
        <sz val="10"/>
        <rFont val="Arial"/>
        <family val="2"/>
      </rPr>
      <t>C</t>
    </r>
    <r>
      <rPr>
        <vertAlign val="subscript"/>
        <sz val="10"/>
        <rFont val="Arial"/>
        <family val="2"/>
      </rPr>
      <t>OUT</t>
    </r>
  </si>
  <si>
    <r>
      <rPr>
        <sz val="10"/>
        <rFont val="Symbol"/>
        <charset val="2"/>
      </rPr>
      <t>m</t>
    </r>
    <r>
      <rPr>
        <sz val="10"/>
        <rFont val="Arial"/>
        <family val="2"/>
      </rPr>
      <t>F</t>
    </r>
  </si>
  <si>
    <t>Output Voltage Peak to Peak Ripple:</t>
  </si>
  <si>
    <r>
      <rPr>
        <sz val="10"/>
        <rFont val="Arial"/>
        <family val="2"/>
      </rPr>
      <t>V</t>
    </r>
    <r>
      <rPr>
        <vertAlign val="subscript"/>
        <sz val="10"/>
        <rFont val="Arial"/>
        <family val="2"/>
      </rPr>
      <t>OUT_RIPPLEpp</t>
    </r>
  </si>
  <si>
    <t>Output Capacitor Ripple Current at Twice Line Frequency:</t>
  </si>
  <si>
    <r>
      <rPr>
        <sz val="10"/>
        <rFont val="Arial"/>
        <family val="2"/>
      </rPr>
      <t>I</t>
    </r>
    <r>
      <rPr>
        <vertAlign val="subscript"/>
        <sz val="10"/>
        <rFont val="Arial"/>
        <family val="2"/>
      </rPr>
      <t>Cout_2fline</t>
    </r>
  </si>
  <si>
    <r>
      <rPr>
        <sz val="10"/>
        <rFont val="Arial"/>
        <family val="2"/>
      </rPr>
      <t>A</t>
    </r>
    <r>
      <rPr>
        <vertAlign val="subscript"/>
        <sz val="10"/>
        <rFont val="Arial"/>
        <family val="2"/>
      </rPr>
      <t>RMS</t>
    </r>
  </si>
  <si>
    <t>Output Capacitor High Frequency Ripple Current:</t>
  </si>
  <si>
    <r>
      <rPr>
        <sz val="10"/>
        <rFont val="Arial"/>
        <family val="2"/>
      </rPr>
      <t>I</t>
    </r>
    <r>
      <rPr>
        <vertAlign val="subscript"/>
        <sz val="10"/>
        <rFont val="Arial"/>
        <family val="2"/>
      </rPr>
      <t>Cout_HF</t>
    </r>
  </si>
  <si>
    <t>Total Output Capacitor Ripple Current:</t>
  </si>
  <si>
    <r>
      <rPr>
        <sz val="10"/>
        <rFont val="Arial"/>
        <family val="2"/>
      </rPr>
      <t>I</t>
    </r>
    <r>
      <rPr>
        <vertAlign val="subscript"/>
        <sz val="10"/>
        <rFont val="Arial"/>
        <family val="2"/>
      </rPr>
      <t>Cout_RMS(total)</t>
    </r>
  </si>
  <si>
    <t>OUTPUT VOLTAGE SET POINT:</t>
  </si>
  <si>
    <t>Recommended Value for the Top Divider Resistor:</t>
  </si>
  <si>
    <r>
      <rPr>
        <b/>
        <sz val="10"/>
        <rFont val="Arial"/>
        <family val="2"/>
      </rPr>
      <t>R</t>
    </r>
    <r>
      <rPr>
        <b/>
        <vertAlign val="subscript"/>
        <sz val="10"/>
        <rFont val="Arial"/>
        <family val="2"/>
      </rPr>
      <t>FB1</t>
    </r>
  </si>
  <si>
    <r>
      <rPr>
        <b/>
        <sz val="10"/>
        <rFont val="Arial"/>
        <family val="2"/>
      </rPr>
      <t>M</t>
    </r>
    <r>
      <rPr>
        <b/>
        <sz val="10"/>
        <rFont val="Symbol"/>
        <charset val="2"/>
      </rPr>
      <t>W</t>
    </r>
  </si>
  <si>
    <t>Actual Value of the Top Divider Resistor:</t>
  </si>
  <si>
    <r>
      <rPr>
        <sz val="10"/>
        <rFont val="Arial"/>
        <family val="2"/>
      </rPr>
      <t>R</t>
    </r>
    <r>
      <rPr>
        <vertAlign val="subscript"/>
        <sz val="10"/>
        <rFont val="Arial"/>
        <family val="2"/>
      </rPr>
      <t>FB1(actual)</t>
    </r>
  </si>
  <si>
    <r>
      <rPr>
        <sz val="10"/>
        <rFont val="Arial"/>
        <family val="2"/>
      </rPr>
      <t>M</t>
    </r>
    <r>
      <rPr>
        <sz val="10"/>
        <rFont val="Symbol"/>
        <charset val="2"/>
      </rPr>
      <t>W</t>
    </r>
  </si>
  <si>
    <r>
      <rPr>
        <sz val="10"/>
        <rFont val="Arial"/>
        <family val="2"/>
      </rPr>
      <t>Resistor Tolerance of R</t>
    </r>
    <r>
      <rPr>
        <vertAlign val="subscript"/>
        <sz val="10"/>
        <rFont val="Arial"/>
        <family val="2"/>
      </rPr>
      <t>FB1(actual)</t>
    </r>
    <r>
      <rPr>
        <sz val="10"/>
        <rFont val="Arial"/>
        <family val="2"/>
      </rPr>
      <t>:</t>
    </r>
  </si>
  <si>
    <r>
      <rPr>
        <sz val="10"/>
        <rFont val="Symbol"/>
        <charset val="2"/>
      </rPr>
      <t>D</t>
    </r>
    <r>
      <rPr>
        <sz val="10"/>
        <rFont val="Arial"/>
        <family val="2"/>
      </rPr>
      <t>R</t>
    </r>
    <r>
      <rPr>
        <vertAlign val="subscript"/>
        <sz val="10"/>
        <rFont val="Arial"/>
        <family val="2"/>
      </rPr>
      <t>FB1(actual)</t>
    </r>
  </si>
  <si>
    <t>%</t>
  </si>
  <si>
    <r>
      <rPr>
        <sz val="10"/>
        <rFont val="Arial"/>
        <family val="2"/>
      </rPr>
      <t>Temperature Coefficient of R</t>
    </r>
    <r>
      <rPr>
        <vertAlign val="subscript"/>
        <sz val="10"/>
        <rFont val="Arial"/>
        <family val="2"/>
      </rPr>
      <t>FB1(actual)</t>
    </r>
  </si>
  <si>
    <r>
      <rPr>
        <sz val="10"/>
        <rFont val="Arial"/>
        <family val="2"/>
      </rPr>
      <t>R</t>
    </r>
    <r>
      <rPr>
        <vertAlign val="subscript"/>
        <sz val="10"/>
        <rFont val="Arial"/>
        <family val="2"/>
      </rPr>
      <t>FB1_tempco</t>
    </r>
  </si>
  <si>
    <r>
      <rPr>
        <sz val="10"/>
        <rFont val="Arial"/>
        <family val="2"/>
      </rPr>
      <t>ppm/</t>
    </r>
    <r>
      <rPr>
        <sz val="10"/>
        <rFont val="Symbol"/>
        <charset val="2"/>
      </rPr>
      <t>°</t>
    </r>
    <r>
      <rPr>
        <sz val="10"/>
        <rFont val="Arial"/>
        <family val="2"/>
      </rPr>
      <t>C</t>
    </r>
  </si>
  <si>
    <t>Recommended Value for the Bottom Divider Resistor:</t>
  </si>
  <si>
    <r>
      <rPr>
        <b/>
        <sz val="10"/>
        <rFont val="Arial"/>
        <family val="2"/>
      </rPr>
      <t>R</t>
    </r>
    <r>
      <rPr>
        <b/>
        <vertAlign val="subscript"/>
        <sz val="10"/>
        <rFont val="Arial"/>
        <family val="2"/>
      </rPr>
      <t>FB2</t>
    </r>
  </si>
  <si>
    <r>
      <rPr>
        <b/>
        <sz val="10"/>
        <rFont val="Arial"/>
        <family val="2"/>
      </rPr>
      <t>k</t>
    </r>
    <r>
      <rPr>
        <b/>
        <sz val="10"/>
        <rFont val="Symbol"/>
        <charset val="2"/>
      </rPr>
      <t>W</t>
    </r>
  </si>
  <si>
    <r>
      <rPr>
        <sz val="10"/>
        <rFont val="Arial"/>
        <family val="2"/>
      </rPr>
      <t>R</t>
    </r>
    <r>
      <rPr>
        <vertAlign val="subscript"/>
        <sz val="10"/>
        <rFont val="Arial"/>
        <family val="2"/>
      </rPr>
      <t>FB2(actual)</t>
    </r>
  </si>
  <si>
    <r>
      <rPr>
        <sz val="10"/>
        <rFont val="Arial"/>
        <family val="2"/>
      </rPr>
      <t>k</t>
    </r>
    <r>
      <rPr>
        <sz val="10"/>
        <rFont val="Symbol"/>
        <charset val="2"/>
      </rPr>
      <t>W</t>
    </r>
  </si>
  <si>
    <r>
      <rPr>
        <sz val="10"/>
        <rFont val="Arial"/>
        <family val="2"/>
      </rPr>
      <t>Resistor Tolerance of R</t>
    </r>
    <r>
      <rPr>
        <vertAlign val="subscript"/>
        <sz val="10"/>
        <rFont val="Arial"/>
        <family val="2"/>
      </rPr>
      <t>FB2(actual)</t>
    </r>
    <r>
      <rPr>
        <sz val="10"/>
        <rFont val="Arial"/>
        <family val="2"/>
      </rPr>
      <t>:</t>
    </r>
  </si>
  <si>
    <r>
      <rPr>
        <sz val="10"/>
        <rFont val="Symbol"/>
        <charset val="2"/>
      </rPr>
      <t>D</t>
    </r>
    <r>
      <rPr>
        <sz val="10"/>
        <rFont val="Arial"/>
        <family val="2"/>
      </rPr>
      <t>R</t>
    </r>
    <r>
      <rPr>
        <vertAlign val="subscript"/>
        <sz val="10"/>
        <rFont val="Arial"/>
        <family val="2"/>
      </rPr>
      <t>FB2(actual)</t>
    </r>
  </si>
  <si>
    <r>
      <rPr>
        <sz val="10"/>
        <rFont val="Arial"/>
        <family val="2"/>
      </rPr>
      <t>Temperature Coefficient of R</t>
    </r>
    <r>
      <rPr>
        <vertAlign val="subscript"/>
        <sz val="10"/>
        <rFont val="Arial"/>
        <family val="2"/>
      </rPr>
      <t>FB2(actual)</t>
    </r>
  </si>
  <si>
    <r>
      <rPr>
        <sz val="10"/>
        <rFont val="Arial"/>
        <family val="2"/>
      </rPr>
      <t>R</t>
    </r>
    <r>
      <rPr>
        <vertAlign val="subscript"/>
        <sz val="10"/>
        <rFont val="Arial"/>
        <family val="2"/>
      </rPr>
      <t>FB2_tempco</t>
    </r>
  </si>
  <si>
    <t>Actual Nominal Output Voltage:</t>
  </si>
  <si>
    <r>
      <rPr>
        <sz val="10"/>
        <rFont val="Arial"/>
        <family val="2"/>
      </rPr>
      <t>Minimum Output Voltage with respect to V</t>
    </r>
    <r>
      <rPr>
        <vertAlign val="subscript"/>
        <sz val="10"/>
        <rFont val="Arial"/>
        <family val="2"/>
      </rPr>
      <t xml:space="preserve">REF </t>
    </r>
    <r>
      <rPr>
        <sz val="10"/>
        <rFont val="Arial"/>
        <family val="2"/>
      </rPr>
      <t xml:space="preserve">and  Resistor Tolerance </t>
    </r>
  </si>
  <si>
    <r>
      <rPr>
        <sz val="10"/>
        <rFont val="Arial"/>
        <family val="2"/>
      </rPr>
      <t>V</t>
    </r>
    <r>
      <rPr>
        <vertAlign val="subscript"/>
        <sz val="10"/>
        <rFont val="Arial"/>
        <family val="2"/>
      </rPr>
      <t>OUT(min)</t>
    </r>
  </si>
  <si>
    <r>
      <rPr>
        <sz val="10"/>
        <rFont val="Arial"/>
        <family val="2"/>
      </rPr>
      <t>Maximum Output Voltage with respect to V</t>
    </r>
    <r>
      <rPr>
        <vertAlign val="subscript"/>
        <sz val="10"/>
        <rFont val="Arial"/>
        <family val="2"/>
      </rPr>
      <t xml:space="preserve">REF </t>
    </r>
    <r>
      <rPr>
        <sz val="10"/>
        <rFont val="Arial"/>
        <family val="2"/>
      </rPr>
      <t xml:space="preserve">and  Resistor Tolerance </t>
    </r>
  </si>
  <si>
    <r>
      <rPr>
        <sz val="10"/>
        <rFont val="Arial"/>
        <family val="2"/>
      </rPr>
      <t>V</t>
    </r>
    <r>
      <rPr>
        <vertAlign val="subscript"/>
        <sz val="10"/>
        <rFont val="Arial"/>
        <family val="2"/>
      </rPr>
      <t>OUT(max)</t>
    </r>
  </si>
  <si>
    <t>OVP Set Point: Typical DC Output Voltage to Trigger OVP</t>
  </si>
  <si>
    <r>
      <rPr>
        <sz val="10"/>
        <rFont val="Arial"/>
        <family val="2"/>
      </rPr>
      <t>V</t>
    </r>
    <r>
      <rPr>
        <vertAlign val="subscript"/>
        <sz val="10"/>
        <rFont val="Arial"/>
        <family val="2"/>
      </rPr>
      <t>OVP</t>
    </r>
  </si>
  <si>
    <t>OVP Set Point: Maximum DC Output Voltage to Trigger OVP</t>
  </si>
  <si>
    <r>
      <rPr>
        <sz val="10"/>
        <rFont val="Arial"/>
        <family val="2"/>
      </rPr>
      <t>V</t>
    </r>
    <r>
      <rPr>
        <vertAlign val="subscript"/>
        <sz val="10"/>
        <rFont val="Arial"/>
        <family val="2"/>
      </rPr>
      <t>OVP(max)</t>
    </r>
  </si>
  <si>
    <t>OVP Set Point: Minimum DC Output Voltage to Trigger OVP</t>
  </si>
  <si>
    <r>
      <rPr>
        <sz val="10"/>
        <rFont val="Arial"/>
        <family val="2"/>
      </rPr>
      <t>V</t>
    </r>
    <r>
      <rPr>
        <vertAlign val="subscript"/>
        <sz val="10"/>
        <rFont val="Arial"/>
        <family val="2"/>
      </rPr>
      <t>OVP(min)</t>
    </r>
  </si>
  <si>
    <t>UVD Set Point: Typical DC Output Voltage to Trigger UVD</t>
  </si>
  <si>
    <r>
      <rPr>
        <sz val="10"/>
        <rFont val="Arial"/>
        <family val="2"/>
      </rPr>
      <t>V</t>
    </r>
    <r>
      <rPr>
        <vertAlign val="subscript"/>
        <sz val="10"/>
        <rFont val="Arial"/>
        <family val="2"/>
      </rPr>
      <t>UVD</t>
    </r>
  </si>
  <si>
    <t>UVD Set Point: Maximum DC Output Voltage to Trigger UVD</t>
  </si>
  <si>
    <r>
      <rPr>
        <sz val="10"/>
        <rFont val="Arial"/>
        <family val="2"/>
      </rPr>
      <t>V</t>
    </r>
    <r>
      <rPr>
        <vertAlign val="subscript"/>
        <sz val="10"/>
        <rFont val="Arial"/>
        <family val="2"/>
      </rPr>
      <t>UVD(max)</t>
    </r>
  </si>
  <si>
    <t>UVD Set Point: Minimum DC Output Voltage to Trigger UVD</t>
  </si>
  <si>
    <r>
      <rPr>
        <sz val="10"/>
        <rFont val="Arial"/>
        <family val="2"/>
      </rPr>
      <t>V</t>
    </r>
    <r>
      <rPr>
        <vertAlign val="subscript"/>
        <sz val="10"/>
        <rFont val="Arial"/>
        <family val="2"/>
      </rPr>
      <t>UVD(min)</t>
    </r>
  </si>
  <si>
    <t>Recommended Value for Filter Capacitor on VSENSE:</t>
  </si>
  <si>
    <r>
      <rPr>
        <b/>
        <sz val="10"/>
        <rFont val="Arial"/>
        <family val="2"/>
      </rPr>
      <t>C</t>
    </r>
    <r>
      <rPr>
        <b/>
        <vertAlign val="subscript"/>
        <sz val="10"/>
        <rFont val="Arial"/>
        <family val="2"/>
      </rPr>
      <t>VSENSE</t>
    </r>
  </si>
  <si>
    <t>Power Dissipated in Voltage Divider:</t>
  </si>
  <si>
    <r>
      <rPr>
        <sz val="10"/>
        <rFont val="Arial"/>
        <family val="2"/>
      </rPr>
      <t>P</t>
    </r>
    <r>
      <rPr>
        <vertAlign val="subscript"/>
        <sz val="10"/>
        <rFont val="Arial"/>
        <family val="2"/>
      </rPr>
      <t>RfB1+RFB2</t>
    </r>
  </si>
  <si>
    <t>COMPENSATION:</t>
  </si>
  <si>
    <t xml:space="preserve">Open Loop Transfer Function for Current Loop:  </t>
  </si>
  <si>
    <t>Product of the Voltage Loop Variables, Nominal Line Voltage, Full Load:</t>
  </si>
  <si>
    <t>M1M2</t>
  </si>
  <si>
    <r>
      <rPr>
        <sz val="10"/>
        <rFont val="Arial"/>
        <family val="2"/>
      </rPr>
      <t>V/</t>
    </r>
    <r>
      <rPr>
        <sz val="10"/>
        <rFont val="Symbol"/>
        <charset val="2"/>
      </rPr>
      <t>m</t>
    </r>
    <r>
      <rPr>
        <sz val="10"/>
        <rFont val="Arial"/>
        <family val="2"/>
      </rPr>
      <t>s</t>
    </r>
  </si>
  <si>
    <t>VCOMP at Nominal Line Voltage, Full Load:</t>
  </si>
  <si>
    <t>VCOMP</t>
  </si>
  <si>
    <r>
      <rPr>
        <sz val="10"/>
        <rFont val="Arial"/>
        <family val="2"/>
      </rPr>
      <t>Internal Current Loop Gain Factor M</t>
    </r>
    <r>
      <rPr>
        <vertAlign val="subscript"/>
        <sz val="10"/>
        <rFont val="Arial"/>
        <family val="2"/>
      </rPr>
      <t>1</t>
    </r>
  </si>
  <si>
    <r>
      <rPr>
        <sz val="10"/>
        <rFont val="Arial"/>
        <family val="2"/>
      </rPr>
      <t>M</t>
    </r>
    <r>
      <rPr>
        <vertAlign val="subscript"/>
        <sz val="10"/>
        <rFont val="Arial"/>
        <family val="2"/>
      </rPr>
      <t>1</t>
    </r>
  </si>
  <si>
    <r>
      <rPr>
        <sz val="10"/>
        <rFont val="Arial"/>
        <family val="2"/>
      </rPr>
      <t>Internal Voltage Loop PWM Ramp Slope M</t>
    </r>
    <r>
      <rPr>
        <vertAlign val="subscript"/>
        <sz val="10"/>
        <rFont val="Arial"/>
        <family val="2"/>
      </rPr>
      <t>2</t>
    </r>
  </si>
  <si>
    <r>
      <rPr>
        <sz val="10"/>
        <rFont val="Arial"/>
        <family val="2"/>
      </rPr>
      <t>M</t>
    </r>
    <r>
      <rPr>
        <vertAlign val="subscript"/>
        <sz val="10"/>
        <rFont val="Arial"/>
        <family val="2"/>
      </rPr>
      <t>2</t>
    </r>
  </si>
  <si>
    <r>
      <rPr>
        <sz val="10"/>
        <rFont val="Arial"/>
        <family val="2"/>
      </rPr>
      <t>Non-Linear Gain Voltage Loop Variable M</t>
    </r>
    <r>
      <rPr>
        <vertAlign val="subscript"/>
        <sz val="10"/>
        <rFont val="Arial"/>
        <family val="2"/>
      </rPr>
      <t>3</t>
    </r>
  </si>
  <si>
    <r>
      <rPr>
        <sz val="10"/>
        <rFont val="Arial"/>
        <family val="2"/>
      </rPr>
      <t>M</t>
    </r>
    <r>
      <rPr>
        <vertAlign val="subscript"/>
        <sz val="10"/>
        <rFont val="Arial"/>
        <family val="2"/>
      </rPr>
      <t>3</t>
    </r>
  </si>
  <si>
    <r>
      <rPr>
        <sz val="10"/>
        <rFont val="Arial"/>
        <family val="2"/>
      </rPr>
      <t>Desired Current Averaging Pole Frequency (6.5kHz &lt;f</t>
    </r>
    <r>
      <rPr>
        <vertAlign val="subscript"/>
        <sz val="10"/>
        <rFont val="Arial"/>
        <family val="2"/>
      </rPr>
      <t>IAVG</t>
    </r>
    <r>
      <rPr>
        <sz val="10"/>
        <rFont val="Arial"/>
        <family val="2"/>
      </rPr>
      <t xml:space="preserve"> &lt; 13kHz)</t>
    </r>
  </si>
  <si>
    <r>
      <rPr>
        <sz val="10"/>
        <rFont val="Arial"/>
        <family val="2"/>
      </rPr>
      <t>f</t>
    </r>
    <r>
      <rPr>
        <vertAlign val="subscript"/>
        <sz val="10"/>
        <rFont val="Arial"/>
        <family val="2"/>
      </rPr>
      <t>IAVG</t>
    </r>
  </si>
  <si>
    <t>kHz</t>
  </si>
  <si>
    <t>Recommended Value for ICOMP Capacitor:</t>
  </si>
  <si>
    <r>
      <rPr>
        <b/>
        <sz val="10"/>
        <rFont val="Arial"/>
        <family val="2"/>
      </rPr>
      <t>C</t>
    </r>
    <r>
      <rPr>
        <b/>
        <vertAlign val="subscript"/>
        <sz val="10"/>
        <rFont val="Arial"/>
        <family val="2"/>
      </rPr>
      <t>ICOMP</t>
    </r>
  </si>
  <si>
    <t>Actual Value Used for ICOMP Capacitor:</t>
  </si>
  <si>
    <r>
      <rPr>
        <sz val="10"/>
        <rFont val="Arial"/>
        <family val="2"/>
      </rPr>
      <t>C</t>
    </r>
    <r>
      <rPr>
        <vertAlign val="subscript"/>
        <sz val="10"/>
        <rFont val="Arial"/>
        <family val="2"/>
      </rPr>
      <t>ICOMP(actual)</t>
    </r>
  </si>
  <si>
    <t>Resultant Actual Current Averaging Pole Frequency:</t>
  </si>
  <si>
    <r>
      <rPr>
        <sz val="10"/>
        <rFont val="Arial"/>
        <family val="2"/>
      </rPr>
      <t>f</t>
    </r>
    <r>
      <rPr>
        <vertAlign val="subscript"/>
        <sz val="10"/>
        <rFont val="Arial"/>
        <family val="2"/>
      </rPr>
      <t>IAVG(actual)</t>
    </r>
  </si>
  <si>
    <t xml:space="preserve">Open Loop Transfer Function for Voltage Loop:  </t>
  </si>
  <si>
    <t>PWM to Power Stage Pole:</t>
  </si>
  <si>
    <r>
      <rPr>
        <sz val="10"/>
        <rFont val="Arial"/>
        <family val="2"/>
      </rPr>
      <t>f</t>
    </r>
    <r>
      <rPr>
        <vertAlign val="subscript"/>
        <sz val="10"/>
        <rFont val="Arial"/>
        <family val="2"/>
      </rPr>
      <t>PWM_PS(pole)</t>
    </r>
  </si>
  <si>
    <r>
      <rPr>
        <sz val="10"/>
        <rFont val="Arial"/>
        <family val="2"/>
      </rPr>
      <t>Desired Voltage Loop Crossover Frequency ( f</t>
    </r>
    <r>
      <rPr>
        <vertAlign val="subscript"/>
        <sz val="10"/>
        <rFont val="Arial"/>
        <family val="2"/>
      </rPr>
      <t>V</t>
    </r>
    <r>
      <rPr>
        <sz val="10"/>
        <rFont val="Arial"/>
        <family val="2"/>
      </rPr>
      <t xml:space="preserve"> &lt; 20Hz):</t>
    </r>
  </si>
  <si>
    <r>
      <rPr>
        <sz val="10"/>
        <rFont val="Arial"/>
        <family val="2"/>
      </rPr>
      <t>f</t>
    </r>
    <r>
      <rPr>
        <vertAlign val="subscript"/>
        <sz val="10"/>
        <rFont val="Arial"/>
        <family val="2"/>
      </rPr>
      <t>V</t>
    </r>
  </si>
  <si>
    <r>
      <rPr>
        <sz val="10"/>
        <rFont val="Arial"/>
        <family val="2"/>
      </rPr>
      <t>Open Loop Voltage Gain at Desired f</t>
    </r>
    <r>
      <rPr>
        <vertAlign val="subscript"/>
        <sz val="10"/>
        <rFont val="Arial"/>
        <family val="2"/>
      </rPr>
      <t>V</t>
    </r>
    <r>
      <rPr>
        <sz val="10"/>
        <rFont val="Arial"/>
        <family val="2"/>
      </rPr>
      <t>:</t>
    </r>
  </si>
  <si>
    <r>
      <rPr>
        <sz val="10"/>
        <rFont val="Arial"/>
        <family val="2"/>
      </rPr>
      <t>G</t>
    </r>
    <r>
      <rPr>
        <vertAlign val="subscript"/>
        <sz val="10"/>
        <rFont val="Arial"/>
        <family val="2"/>
      </rPr>
      <t>VLdB</t>
    </r>
    <r>
      <rPr>
        <sz val="10"/>
        <rFont val="Arial"/>
        <family val="2"/>
      </rPr>
      <t>(f</t>
    </r>
    <r>
      <rPr>
        <vertAlign val="subscript"/>
        <sz val="10"/>
        <rFont val="Arial"/>
        <family val="2"/>
      </rPr>
      <t>V</t>
    </r>
    <r>
      <rPr>
        <sz val="10"/>
        <rFont val="Arial"/>
        <family val="2"/>
      </rPr>
      <t>)</t>
    </r>
  </si>
  <si>
    <t>dB</t>
  </si>
  <si>
    <t>Recommended Value for the Voltage Compensation Capacitor:</t>
  </si>
  <si>
    <r>
      <rPr>
        <b/>
        <sz val="10"/>
        <rFont val="Arial"/>
        <family val="2"/>
      </rPr>
      <t>C</t>
    </r>
    <r>
      <rPr>
        <b/>
        <vertAlign val="subscript"/>
        <sz val="10"/>
        <rFont val="Arial"/>
        <family val="2"/>
      </rPr>
      <t>VCOMP</t>
    </r>
  </si>
  <si>
    <r>
      <rPr>
        <sz val="10"/>
        <rFont val="Arial"/>
        <family val="2"/>
      </rPr>
      <t>Actual Value Used for C</t>
    </r>
    <r>
      <rPr>
        <vertAlign val="subscript"/>
        <sz val="10"/>
        <rFont val="Arial"/>
        <family val="2"/>
      </rPr>
      <t>VCOMP</t>
    </r>
    <r>
      <rPr>
        <sz val="10"/>
        <rFont val="Arial"/>
        <family val="2"/>
      </rPr>
      <t xml:space="preserve"> Capacitor:</t>
    </r>
  </si>
  <si>
    <r>
      <rPr>
        <sz val="10"/>
        <rFont val="Arial"/>
        <family val="2"/>
      </rPr>
      <t>C</t>
    </r>
    <r>
      <rPr>
        <vertAlign val="subscript"/>
        <sz val="10"/>
        <rFont val="Arial"/>
        <family val="2"/>
      </rPr>
      <t>VCOMP(actual)</t>
    </r>
  </si>
  <si>
    <t>Recommended Value for the Voltage Compensation Resistor:</t>
  </si>
  <si>
    <r>
      <rPr>
        <b/>
        <sz val="10"/>
        <rFont val="Arial"/>
        <family val="2"/>
      </rPr>
      <t>R</t>
    </r>
    <r>
      <rPr>
        <b/>
        <vertAlign val="subscript"/>
        <sz val="10"/>
        <rFont val="Arial"/>
        <family val="2"/>
      </rPr>
      <t>VCOMP</t>
    </r>
  </si>
  <si>
    <r>
      <rPr>
        <sz val="10"/>
        <rFont val="Arial"/>
        <family val="2"/>
      </rPr>
      <t>Actual Value Used for R</t>
    </r>
    <r>
      <rPr>
        <vertAlign val="subscript"/>
        <sz val="10"/>
        <rFont val="Arial"/>
        <family val="2"/>
      </rPr>
      <t>VCOMP</t>
    </r>
    <r>
      <rPr>
        <sz val="10"/>
        <rFont val="Arial"/>
        <family val="2"/>
      </rPr>
      <t xml:space="preserve"> Resistor:</t>
    </r>
  </si>
  <si>
    <r>
      <rPr>
        <sz val="10"/>
        <rFont val="Arial"/>
        <family val="2"/>
      </rPr>
      <t>R</t>
    </r>
    <r>
      <rPr>
        <vertAlign val="subscript"/>
        <sz val="10"/>
        <rFont val="Arial"/>
        <family val="2"/>
      </rPr>
      <t>VCOMP(actual)</t>
    </r>
  </si>
  <si>
    <t>Resultant Value of Voltage Compensation Zero:</t>
  </si>
  <si>
    <r>
      <rPr>
        <sz val="10"/>
        <rFont val="Arial"/>
        <family val="2"/>
      </rPr>
      <t>f</t>
    </r>
    <r>
      <rPr>
        <vertAlign val="subscript"/>
        <sz val="10"/>
        <rFont val="Arial"/>
        <family val="2"/>
      </rPr>
      <t>ZERO</t>
    </r>
  </si>
  <si>
    <r>
      <rPr>
        <sz val="10"/>
        <rFont val="Arial"/>
        <family val="2"/>
      </rPr>
      <t>Desired Voltage Compensation Pole (f</t>
    </r>
    <r>
      <rPr>
        <vertAlign val="subscript"/>
        <sz val="10"/>
        <rFont val="Arial"/>
        <family val="2"/>
      </rPr>
      <t>Pole</t>
    </r>
    <r>
      <rPr>
        <sz val="10"/>
        <rFont val="Arial"/>
        <family val="2"/>
      </rPr>
      <t xml:space="preserve"> &lt; 50Hz)</t>
    </r>
  </si>
  <si>
    <r>
      <rPr>
        <sz val="10"/>
        <rFont val="Arial"/>
        <family val="2"/>
      </rPr>
      <t>f</t>
    </r>
    <r>
      <rPr>
        <vertAlign val="subscript"/>
        <sz val="10"/>
        <rFont val="Arial"/>
        <family val="2"/>
      </rPr>
      <t>POLE</t>
    </r>
  </si>
  <si>
    <t>Recommended Value for the Parallel Voltage Compensation Capacitor:</t>
  </si>
  <si>
    <r>
      <rPr>
        <b/>
        <sz val="10"/>
        <rFont val="Arial"/>
        <family val="2"/>
      </rPr>
      <t>C</t>
    </r>
    <r>
      <rPr>
        <b/>
        <vertAlign val="subscript"/>
        <sz val="10"/>
        <rFont val="Arial"/>
        <family val="2"/>
      </rPr>
      <t>VCOMP_P</t>
    </r>
  </si>
  <si>
    <t>Actual Value for the Parallel Voltage Compensation Capacitor:</t>
  </si>
  <si>
    <r>
      <rPr>
        <sz val="10"/>
        <rFont val="Arial"/>
        <family val="2"/>
      </rPr>
      <t>C</t>
    </r>
    <r>
      <rPr>
        <vertAlign val="subscript"/>
        <sz val="10"/>
        <rFont val="Arial"/>
        <family val="2"/>
      </rPr>
      <t>VCOMP_P(actual)</t>
    </r>
  </si>
  <si>
    <t>TURN-ON THRESHOLD:</t>
  </si>
  <si>
    <t>Desired AC Line Voltage Turn-On Threshold:</t>
  </si>
  <si>
    <r>
      <rPr>
        <sz val="10"/>
        <rFont val="Arial"/>
        <family val="2"/>
      </rPr>
      <t>V</t>
    </r>
    <r>
      <rPr>
        <vertAlign val="subscript"/>
        <sz val="10"/>
        <rFont val="Arial"/>
        <family val="2"/>
      </rPr>
      <t>AC(on)</t>
    </r>
  </si>
  <si>
    <t>Recommended Value of VINS Top Divider Resistor:</t>
  </si>
  <si>
    <r>
      <rPr>
        <b/>
        <sz val="10"/>
        <rFont val="Arial"/>
        <family val="2"/>
      </rPr>
      <t>R</t>
    </r>
    <r>
      <rPr>
        <b/>
        <vertAlign val="subscript"/>
        <sz val="10"/>
        <rFont val="Arial"/>
        <family val="2"/>
      </rPr>
      <t>VINS1</t>
    </r>
  </si>
  <si>
    <t>Actual Value of VINS Top Divider Resistor:</t>
  </si>
  <si>
    <r>
      <rPr>
        <sz val="10"/>
        <rFont val="Arial"/>
        <family val="2"/>
      </rPr>
      <t>R</t>
    </r>
    <r>
      <rPr>
        <vertAlign val="subscript"/>
        <sz val="10"/>
        <rFont val="Arial"/>
        <family val="2"/>
      </rPr>
      <t>VINS1(actual)</t>
    </r>
  </si>
  <si>
    <t>Recommended Value of VINS Bottom Divider Resistor:</t>
  </si>
  <si>
    <r>
      <rPr>
        <b/>
        <sz val="10"/>
        <rFont val="Arial"/>
        <family val="2"/>
      </rPr>
      <t>R</t>
    </r>
    <r>
      <rPr>
        <b/>
        <vertAlign val="subscript"/>
        <sz val="10"/>
        <rFont val="Arial"/>
        <family val="2"/>
      </rPr>
      <t>VINS2</t>
    </r>
  </si>
  <si>
    <t>Actual Value of VINS Bottom Divider Resistor:</t>
  </si>
  <si>
    <r>
      <rPr>
        <sz val="10"/>
        <rFont val="Arial"/>
        <family val="2"/>
      </rPr>
      <t>R</t>
    </r>
    <r>
      <rPr>
        <vertAlign val="subscript"/>
        <sz val="10"/>
        <rFont val="Arial"/>
        <family val="2"/>
      </rPr>
      <t>VINS2(actual)</t>
    </r>
  </si>
  <si>
    <t>Actual Nominal AC Line Voltage Turn-On Threshold:</t>
  </si>
  <si>
    <r>
      <rPr>
        <sz val="10"/>
        <rFont val="Arial"/>
        <family val="2"/>
      </rPr>
      <t>V</t>
    </r>
    <r>
      <rPr>
        <vertAlign val="subscript"/>
        <sz val="10"/>
        <rFont val="Arial"/>
        <family val="2"/>
      </rPr>
      <t>AC(on)nom(actual)</t>
    </r>
  </si>
  <si>
    <t>Actual Maximum AC Line Voltage Turn-On Threshold:</t>
  </si>
  <si>
    <r>
      <rPr>
        <sz val="10"/>
        <rFont val="Arial"/>
        <family val="2"/>
      </rPr>
      <t>V</t>
    </r>
    <r>
      <rPr>
        <vertAlign val="subscript"/>
        <sz val="10"/>
        <rFont val="Arial"/>
        <family val="2"/>
      </rPr>
      <t>AC(on)max(actual)</t>
    </r>
  </si>
  <si>
    <t>Actual Minimum AC Line Voltage Turn-On Threshold:</t>
  </si>
  <si>
    <r>
      <rPr>
        <sz val="10"/>
        <rFont val="Arial"/>
        <family val="2"/>
      </rPr>
      <t>V</t>
    </r>
    <r>
      <rPr>
        <vertAlign val="subscript"/>
        <sz val="10"/>
        <rFont val="Arial"/>
        <family val="2"/>
      </rPr>
      <t>AC(on)min(actual)</t>
    </r>
  </si>
  <si>
    <t>Maximum VINS Divider Resistor Power Dissipation:</t>
  </si>
  <si>
    <r>
      <rPr>
        <sz val="10"/>
        <rFont val="Arial"/>
        <family val="2"/>
      </rPr>
      <t>P</t>
    </r>
    <r>
      <rPr>
        <vertAlign val="subscript"/>
        <sz val="10"/>
        <rFont val="Arial"/>
        <family val="2"/>
      </rPr>
      <t>R_VINS1</t>
    </r>
  </si>
  <si>
    <t>mW</t>
  </si>
  <si>
    <t>BROWN-OUT PROTECTION:</t>
  </si>
  <si>
    <t>AC Line Voltage Turn-Off Threshold:</t>
  </si>
  <si>
    <r>
      <rPr>
        <sz val="10"/>
        <rFont val="Arial"/>
        <family val="2"/>
      </rPr>
      <t>V</t>
    </r>
    <r>
      <rPr>
        <vertAlign val="subscript"/>
        <sz val="10"/>
        <rFont val="Arial"/>
        <family val="2"/>
      </rPr>
      <t>AC(off)</t>
    </r>
  </si>
  <si>
    <t>Is Input Hold-Up Required for Line-Dropout Conditions?</t>
  </si>
  <si>
    <t>Hold-up?</t>
  </si>
  <si>
    <t>NO</t>
  </si>
  <si>
    <r>
      <rPr>
        <sz val="10"/>
        <rFont val="Arial"/>
        <family val="2"/>
      </rPr>
      <t>Desired Number of Half Line Cycles For Line-Drop-Out (N</t>
    </r>
    <r>
      <rPr>
        <vertAlign val="subscript"/>
        <sz val="10"/>
        <rFont val="Arial"/>
        <family val="2"/>
      </rPr>
      <t>DROPOUT_HOLDUP</t>
    </r>
    <r>
      <rPr>
        <sz val="10"/>
        <rFont val="Arial"/>
        <family val="2"/>
      </rPr>
      <t xml:space="preserve"> &gt; 2*N</t>
    </r>
    <r>
      <rPr>
        <vertAlign val="subscript"/>
        <sz val="10"/>
        <rFont val="Arial"/>
        <family val="2"/>
      </rPr>
      <t>HOLD_UP</t>
    </r>
    <r>
      <rPr>
        <sz val="10"/>
        <rFont val="Arial"/>
        <family val="2"/>
      </rPr>
      <t>)</t>
    </r>
  </si>
  <si>
    <r>
      <rPr>
        <sz val="10"/>
        <rFont val="Arial"/>
        <family val="2"/>
      </rPr>
      <t>N</t>
    </r>
    <r>
      <rPr>
        <vertAlign val="subscript"/>
        <sz val="10"/>
        <rFont val="Arial"/>
        <family val="2"/>
      </rPr>
      <t>DROPOUT_HOLDUP</t>
    </r>
  </si>
  <si>
    <t>Hold-Up Time:</t>
  </si>
  <si>
    <r>
      <rPr>
        <sz val="10"/>
        <rFont val="Arial"/>
        <family val="2"/>
      </rPr>
      <t>t</t>
    </r>
    <r>
      <rPr>
        <vertAlign val="subscript"/>
        <sz val="10"/>
        <rFont val="Arial"/>
        <family val="2"/>
      </rPr>
      <t>INPUT_HOLDUP</t>
    </r>
  </si>
  <si>
    <t>Required VINS Capacitor:</t>
  </si>
  <si>
    <r>
      <rPr>
        <b/>
        <sz val="10"/>
        <rFont val="Arial"/>
        <family val="2"/>
      </rPr>
      <t>C</t>
    </r>
    <r>
      <rPr>
        <b/>
        <vertAlign val="subscript"/>
        <sz val="10"/>
        <rFont val="Arial"/>
        <family val="2"/>
      </rPr>
      <t>VINS</t>
    </r>
  </si>
  <si>
    <t>Actual VINS Capacitor Used:</t>
  </si>
  <si>
    <r>
      <rPr>
        <sz val="10"/>
        <rFont val="Arial"/>
        <family val="2"/>
      </rPr>
      <t>C</t>
    </r>
    <r>
      <rPr>
        <vertAlign val="subscript"/>
        <sz val="10"/>
        <rFont val="Arial"/>
        <family val="2"/>
      </rPr>
      <t>VINS_HU(actual)</t>
    </r>
  </si>
  <si>
    <t>Actual Nominal AC Line Voltage Turn-Off Threshold During Line Drop-Out:</t>
  </si>
  <si>
    <r>
      <rPr>
        <sz val="10"/>
        <rFont val="Arial"/>
        <family val="2"/>
      </rPr>
      <t>V</t>
    </r>
    <r>
      <rPr>
        <vertAlign val="subscript"/>
        <sz val="10"/>
        <rFont val="Arial"/>
        <family val="2"/>
      </rPr>
      <t>AC(off)actual(nom)_DROPOUT</t>
    </r>
  </si>
  <si>
    <t>Actual Maximum AC Line Voltage Turn-Off Threshold During Line Drop-Out:</t>
  </si>
  <si>
    <r>
      <rPr>
        <sz val="10"/>
        <rFont val="Arial"/>
        <family val="2"/>
      </rPr>
      <t>V</t>
    </r>
    <r>
      <rPr>
        <vertAlign val="subscript"/>
        <sz val="10"/>
        <rFont val="Arial"/>
        <family val="2"/>
      </rPr>
      <t>AC(off)actual(max)_DROPOUT</t>
    </r>
  </si>
  <si>
    <t>Actual Minimum AC Line Voltage Turn-Off Threshold During Line Drop-Out:</t>
  </si>
  <si>
    <r>
      <rPr>
        <sz val="10"/>
        <rFont val="Arial"/>
        <family val="2"/>
      </rPr>
      <t>V</t>
    </r>
    <r>
      <rPr>
        <vertAlign val="subscript"/>
        <sz val="10"/>
        <rFont val="Arial"/>
        <family val="2"/>
      </rPr>
      <t>AC(off)actual(min)_DROPOUT</t>
    </r>
  </si>
  <si>
    <t>Actual Nominal AC Line Voltage Turn-Off Threshold, Brown-Out, Full Load:</t>
  </si>
  <si>
    <r>
      <rPr>
        <sz val="10"/>
        <rFont val="Arial"/>
        <family val="2"/>
      </rPr>
      <t>V</t>
    </r>
    <r>
      <rPr>
        <vertAlign val="subscript"/>
        <sz val="10"/>
        <rFont val="Arial"/>
        <family val="2"/>
      </rPr>
      <t>AC(off)actual(nom)</t>
    </r>
  </si>
  <si>
    <t>Actual Maximum AC Line Voltage Turn-Off  Threshold, Brown-Out, Full Load:</t>
  </si>
  <si>
    <r>
      <rPr>
        <sz val="10"/>
        <rFont val="Arial"/>
        <family val="2"/>
      </rPr>
      <t>V</t>
    </r>
    <r>
      <rPr>
        <vertAlign val="subscript"/>
        <sz val="10"/>
        <rFont val="Arial"/>
        <family val="2"/>
      </rPr>
      <t>AC(off)actual(max)</t>
    </r>
  </si>
  <si>
    <t>Actual Minimum AC Line Voltage Turn-Off  Threshold, Brown-Out, Full Load:</t>
  </si>
  <si>
    <r>
      <rPr>
        <sz val="10"/>
        <rFont val="Arial"/>
        <family val="2"/>
      </rPr>
      <t>V</t>
    </r>
    <r>
      <rPr>
        <vertAlign val="subscript"/>
        <sz val="10"/>
        <rFont val="Arial"/>
        <family val="2"/>
      </rPr>
      <t>AC(off)actual(min)</t>
    </r>
  </si>
  <si>
    <t>Typical Schematic for a PFC Continuous Conduction Mode Boost Converter Using the UCC28019</t>
  </si>
  <si>
    <t>RECCOMMENDED BILL OF MATERIALS</t>
  </si>
  <si>
    <t>Reference Designator</t>
  </si>
  <si>
    <t>Description/Comments</t>
  </si>
  <si>
    <t>Fuse</t>
  </si>
  <si>
    <t>Type:</t>
  </si>
  <si>
    <t>Fast Acting</t>
  </si>
  <si>
    <t>Voltage Rating:</t>
  </si>
  <si>
    <t>Current Rating:</t>
  </si>
  <si>
    <t>Bridge Rectifier</t>
  </si>
  <si>
    <t>DC Blocking Voltage:</t>
  </si>
  <si>
    <t>Power Dissipation:</t>
  </si>
  <si>
    <t>Cin</t>
  </si>
  <si>
    <t>Film Capacitor, X2</t>
  </si>
  <si>
    <t>Value:</t>
  </si>
  <si>
    <r>
      <rPr>
        <sz val="16"/>
        <rFont val="Symbol"/>
        <charset val="2"/>
      </rPr>
      <t>m</t>
    </r>
    <r>
      <rPr>
        <sz val="16"/>
        <rFont val="Arial"/>
        <family val="2"/>
      </rPr>
      <t>F</t>
    </r>
  </si>
  <si>
    <t>Volatge Rating:</t>
  </si>
  <si>
    <r>
      <rPr>
        <sz val="16"/>
        <rFont val="Arial"/>
        <family val="2"/>
      </rPr>
      <t>V</t>
    </r>
    <r>
      <rPr>
        <vertAlign val="subscript"/>
        <sz val="16"/>
        <rFont val="Arial"/>
        <family val="2"/>
      </rPr>
      <t>RMS</t>
    </r>
  </si>
  <si>
    <t>Lbst</t>
  </si>
  <si>
    <t>Inductor Value:</t>
  </si>
  <si>
    <t>Peak Current Rating:</t>
  </si>
  <si>
    <t>Ripple Current:</t>
  </si>
  <si>
    <t>Boost Diode</t>
  </si>
  <si>
    <t>Diode, Low Reverse Recovery Charge, Schottky</t>
  </si>
  <si>
    <t>Average Current Rating:</t>
  </si>
  <si>
    <t>Switch</t>
  </si>
  <si>
    <t>MOSFET, Nchannel</t>
  </si>
  <si>
    <t>RMS Drain Current Rating:</t>
  </si>
  <si>
    <t>Rsense</t>
  </si>
  <si>
    <t>Resistor, Low Inductance</t>
  </si>
  <si>
    <t>Risense</t>
  </si>
  <si>
    <t>Resistor, Chip, 1/16W</t>
  </si>
  <si>
    <t>Cisense</t>
  </si>
  <si>
    <t>Capacitor, Ceramic, 100V, X7R, ±10%</t>
  </si>
  <si>
    <t>Cout</t>
  </si>
  <si>
    <t xml:space="preserve">Capacitor, Aluminum, ±20% </t>
  </si>
  <si>
    <r>
      <rPr>
        <sz val="16"/>
        <rFont val="Arial"/>
        <family val="2"/>
      </rPr>
      <t>2 x f</t>
    </r>
    <r>
      <rPr>
        <vertAlign val="subscript"/>
        <sz val="16"/>
        <rFont val="Arial"/>
        <family val="2"/>
      </rPr>
      <t>LINE</t>
    </r>
    <r>
      <rPr>
        <sz val="16"/>
        <rFont val="Arial"/>
        <family val="2"/>
      </rPr>
      <t xml:space="preserve"> Ripple Current Rating:</t>
    </r>
  </si>
  <si>
    <r>
      <rPr>
        <sz val="16"/>
        <rFont val="Arial"/>
        <family val="2"/>
      </rPr>
      <t>A</t>
    </r>
    <r>
      <rPr>
        <vertAlign val="subscript"/>
        <sz val="16"/>
        <rFont val="Arial"/>
        <family val="2"/>
      </rPr>
      <t>RMS</t>
    </r>
  </si>
  <si>
    <t>HF Ripple Current Rating:</t>
  </si>
  <si>
    <t>Rfb1</t>
  </si>
  <si>
    <t>Resistor, Chip, Total Voltage Rating 400V, ±1%</t>
  </si>
  <si>
    <r>
      <rPr>
        <sz val="16"/>
        <rFont val="Arial"/>
        <family val="2"/>
      </rPr>
      <t>M</t>
    </r>
    <r>
      <rPr>
        <sz val="16"/>
        <rFont val="Symbol"/>
        <charset val="2"/>
      </rPr>
      <t>W</t>
    </r>
  </si>
  <si>
    <t>Rfb2</t>
  </si>
  <si>
    <t>Resistor, Chip, 1/10W, ±1%</t>
  </si>
  <si>
    <r>
      <rPr>
        <sz val="16"/>
        <rFont val="Arial"/>
        <family val="2"/>
      </rPr>
      <t>k</t>
    </r>
    <r>
      <rPr>
        <sz val="16"/>
        <rFont val="Symbol"/>
        <charset val="2"/>
      </rPr>
      <t>W</t>
    </r>
  </si>
  <si>
    <t>Cvsense</t>
  </si>
  <si>
    <t>Capacitor, Ceramic, 50V, X7R, ±10%</t>
  </si>
  <si>
    <t>Cicomp</t>
  </si>
  <si>
    <t>Cvcomp</t>
  </si>
  <si>
    <t>Capacitor, Ceramic, 10V, X5R, ±10%</t>
  </si>
  <si>
    <t>Rvcomp</t>
  </si>
  <si>
    <t>Cvcomp_p</t>
  </si>
  <si>
    <t>Rvins1</t>
  </si>
  <si>
    <t>Rvins2</t>
  </si>
  <si>
    <t>Cvins</t>
  </si>
  <si>
    <t>Capacitor, Ceramic, 10V, X5R ±10%</t>
  </si>
  <si>
    <t>VCC Bypass Capacitors:</t>
  </si>
  <si>
    <t>Ceramic, Low ESR/ESL, placed close to the VCC and GND pins with short traces</t>
  </si>
  <si>
    <t>Values:</t>
  </si>
  <si>
    <r>
      <rPr>
        <sz val="11"/>
        <rFont val="Arial"/>
        <family val="2"/>
      </rPr>
      <t>f</t>
    </r>
    <r>
      <rPr>
        <vertAlign val="subscript"/>
        <sz val="10"/>
        <rFont val="Arial"/>
        <family val="2"/>
      </rPr>
      <t>SW</t>
    </r>
  </si>
  <si>
    <r>
      <rPr>
        <sz val="10"/>
        <rFont val="Arial"/>
        <family val="2"/>
      </rPr>
      <t>V</t>
    </r>
    <r>
      <rPr>
        <vertAlign val="subscript"/>
        <sz val="10"/>
        <rFont val="Arial"/>
        <family val="2"/>
      </rPr>
      <t>ISENSE_SOC</t>
    </r>
  </si>
  <si>
    <t>mV factor</t>
  </si>
  <si>
    <r>
      <rPr>
        <sz val="10"/>
        <rFont val="Arial"/>
        <family val="2"/>
      </rPr>
      <t>V</t>
    </r>
    <r>
      <rPr>
        <vertAlign val="subscript"/>
        <sz val="10"/>
        <rFont val="Arial"/>
        <family val="2"/>
      </rPr>
      <t>PCLmax</t>
    </r>
  </si>
  <si>
    <t>uF factor</t>
  </si>
  <si>
    <t>Vref</t>
  </si>
  <si>
    <t>kHz factor</t>
  </si>
  <si>
    <t>Vref_ovp</t>
  </si>
  <si>
    <t>mΩ factor</t>
  </si>
  <si>
    <t>Vref_ovp_max</t>
  </si>
  <si>
    <t>ms factor</t>
  </si>
  <si>
    <t>Vref_ovp_min</t>
  </si>
  <si>
    <t>mA factor</t>
  </si>
  <si>
    <t>Vref_uvd</t>
  </si>
  <si>
    <t>us factor</t>
  </si>
  <si>
    <t>Vref_uvd_max</t>
  </si>
  <si>
    <t>uH factor</t>
  </si>
  <si>
    <t>Vref_uvd_min</t>
  </si>
  <si>
    <t>ns factor</t>
  </si>
  <si>
    <r>
      <rPr>
        <sz val="10"/>
        <rFont val="Arial"/>
        <family val="2"/>
      </rPr>
      <t>t</t>
    </r>
    <r>
      <rPr>
        <vertAlign val="subscript"/>
        <sz val="10"/>
        <rFont val="Arial"/>
        <family val="2"/>
      </rPr>
      <t>RFB2Cvsense</t>
    </r>
  </si>
  <si>
    <t>mW factor</t>
  </si>
  <si>
    <r>
      <rPr>
        <sz val="10"/>
        <rFont val="Arial"/>
        <family val="2"/>
      </rPr>
      <t>V</t>
    </r>
    <r>
      <rPr>
        <vertAlign val="subscript"/>
        <sz val="10"/>
        <rFont val="Arial"/>
        <family val="2"/>
      </rPr>
      <t>INS_ENmax</t>
    </r>
  </si>
  <si>
    <t>pF factor</t>
  </si>
  <si>
    <r>
      <rPr>
        <sz val="10"/>
        <rFont val="Arial"/>
        <family val="2"/>
      </rPr>
      <t>V</t>
    </r>
    <r>
      <rPr>
        <vertAlign val="subscript"/>
        <sz val="10"/>
        <rFont val="Arial"/>
        <family val="2"/>
      </rPr>
      <t>INS_ENmin</t>
    </r>
  </si>
  <si>
    <t>MHz factor</t>
  </si>
  <si>
    <r>
      <rPr>
        <sz val="10"/>
        <rFont val="Arial"/>
        <family val="2"/>
      </rPr>
      <t>V</t>
    </r>
    <r>
      <rPr>
        <vertAlign val="subscript"/>
        <sz val="10"/>
        <rFont val="Arial"/>
        <family val="2"/>
      </rPr>
      <t>INS_ENnom</t>
    </r>
  </si>
  <si>
    <t>uA factor</t>
  </si>
  <si>
    <r>
      <rPr>
        <sz val="10"/>
        <rFont val="Arial"/>
        <family val="2"/>
      </rPr>
      <t>V</t>
    </r>
    <r>
      <rPr>
        <vertAlign val="subscript"/>
        <sz val="10"/>
        <rFont val="Arial"/>
        <family val="2"/>
      </rPr>
      <t>INS_brnmin</t>
    </r>
  </si>
  <si>
    <r>
      <rPr>
        <sz val="11"/>
        <color theme="1"/>
        <rFont val="Arial"/>
        <family val="2"/>
      </rPr>
      <t>k</t>
    </r>
    <r>
      <rPr>
        <sz val="11"/>
        <color indexed="8"/>
        <rFont val="Calibri"/>
        <family val="2"/>
      </rPr>
      <t>Ω</t>
    </r>
    <r>
      <rPr>
        <sz val="11"/>
        <color indexed="8"/>
        <rFont val="Arial"/>
        <family val="2"/>
      </rPr>
      <t xml:space="preserve"> factor</t>
    </r>
  </si>
  <si>
    <r>
      <rPr>
        <sz val="10"/>
        <rFont val="Arial"/>
        <family val="2"/>
      </rPr>
      <t>V</t>
    </r>
    <r>
      <rPr>
        <vertAlign val="subscript"/>
        <sz val="10"/>
        <rFont val="Arial"/>
        <family val="2"/>
      </rPr>
      <t>INS_brnmax</t>
    </r>
  </si>
  <si>
    <t>nC factor</t>
  </si>
  <si>
    <r>
      <rPr>
        <sz val="10"/>
        <rFont val="Arial"/>
        <family val="2"/>
      </rPr>
      <t>V</t>
    </r>
    <r>
      <rPr>
        <vertAlign val="subscript"/>
        <sz val="10"/>
        <rFont val="Arial"/>
        <family val="2"/>
      </rPr>
      <t>INS_brnnom</t>
    </r>
  </si>
  <si>
    <t>nF factor</t>
  </si>
  <si>
    <r>
      <rPr>
        <sz val="10"/>
        <rFont val="Arial"/>
        <family val="2"/>
      </rPr>
      <t>I</t>
    </r>
    <r>
      <rPr>
        <vertAlign val="subscript"/>
        <sz val="10"/>
        <rFont val="Arial"/>
        <family val="2"/>
      </rPr>
      <t>ISENSE</t>
    </r>
  </si>
  <si>
    <t>uC factor</t>
  </si>
  <si>
    <r>
      <rPr>
        <sz val="10"/>
        <rFont val="Arial"/>
        <family val="2"/>
      </rPr>
      <t>I</t>
    </r>
    <r>
      <rPr>
        <vertAlign val="subscript"/>
        <sz val="10"/>
        <rFont val="Arial"/>
        <family val="2"/>
      </rPr>
      <t>VINS</t>
    </r>
  </si>
  <si>
    <t>uA</t>
  </si>
  <si>
    <t>MΩ factor</t>
  </si>
  <si>
    <t>mH factor</t>
  </si>
  <si>
    <t>uS factor</t>
  </si>
  <si>
    <t>mS factor</t>
  </si>
  <si>
    <t>Data for M1M2 vs VCOMP table</t>
  </si>
  <si>
    <t>M1</t>
  </si>
  <si>
    <t>M2</t>
  </si>
  <si>
    <r>
      <rPr>
        <sz val="11"/>
        <rFont val="Arial"/>
        <family val="2"/>
      </rPr>
      <t>K</t>
    </r>
    <r>
      <rPr>
        <vertAlign val="subscript"/>
        <sz val="11"/>
        <rFont val="Arial"/>
        <family val="2"/>
      </rPr>
      <t>1</t>
    </r>
  </si>
  <si>
    <r>
      <rPr>
        <sz val="11"/>
        <rFont val="Arial"/>
        <family val="2"/>
      </rPr>
      <t>K</t>
    </r>
    <r>
      <rPr>
        <vertAlign val="subscript"/>
        <sz val="11"/>
        <rFont val="Arial"/>
        <family val="2"/>
      </rPr>
      <t>FQ</t>
    </r>
  </si>
  <si>
    <r>
      <rPr>
        <sz val="11"/>
        <rFont val="Arial"/>
        <family val="2"/>
      </rPr>
      <t>f</t>
    </r>
    <r>
      <rPr>
        <vertAlign val="subscript"/>
        <sz val="11"/>
        <rFont val="Arial"/>
        <family val="2"/>
      </rPr>
      <t>TYP</t>
    </r>
  </si>
  <si>
    <r>
      <rPr>
        <sz val="11"/>
        <rFont val="Arial"/>
        <family val="2"/>
      </rPr>
      <t>g</t>
    </r>
    <r>
      <rPr>
        <vertAlign val="subscript"/>
        <sz val="11"/>
        <rFont val="Arial"/>
        <family val="2"/>
      </rPr>
      <t>mv</t>
    </r>
  </si>
  <si>
    <r>
      <rPr>
        <sz val="10"/>
        <rFont val="Arial"/>
        <family val="2"/>
      </rPr>
      <t>g</t>
    </r>
    <r>
      <rPr>
        <vertAlign val="subscript"/>
        <sz val="10"/>
        <rFont val="Arial"/>
        <family val="2"/>
      </rPr>
      <t>mi</t>
    </r>
  </si>
  <si>
    <t>VCOMP1</t>
  </si>
  <si>
    <r>
      <rPr>
        <sz val="11"/>
        <rFont val="Arial"/>
        <family val="2"/>
      </rPr>
      <t>a</t>
    </r>
    <r>
      <rPr>
        <vertAlign val="subscript"/>
        <sz val="11"/>
        <rFont val="Arial"/>
        <family val="2"/>
      </rPr>
      <t>1</t>
    </r>
  </si>
  <si>
    <t>algebraic manipulation to determine constants in each region, refer to original MathCAD file</t>
  </si>
  <si>
    <r>
      <rPr>
        <sz val="11"/>
        <rFont val="Arial"/>
        <family val="2"/>
      </rPr>
      <t>b</t>
    </r>
    <r>
      <rPr>
        <vertAlign val="subscript"/>
        <sz val="11"/>
        <rFont val="Arial"/>
        <family val="2"/>
      </rPr>
      <t>1</t>
    </r>
  </si>
  <si>
    <r>
      <rPr>
        <sz val="11"/>
        <rFont val="Arial"/>
        <family val="2"/>
      </rPr>
      <t>c</t>
    </r>
    <r>
      <rPr>
        <vertAlign val="subscript"/>
        <sz val="11"/>
        <rFont val="Arial"/>
        <family val="2"/>
      </rPr>
      <t>1</t>
    </r>
  </si>
  <si>
    <r>
      <rPr>
        <sz val="11"/>
        <rFont val="Arial"/>
        <family val="2"/>
      </rPr>
      <t>d</t>
    </r>
    <r>
      <rPr>
        <vertAlign val="subscript"/>
        <sz val="11"/>
        <rFont val="Arial"/>
        <family val="2"/>
      </rPr>
      <t>1</t>
    </r>
  </si>
  <si>
    <r>
      <rPr>
        <sz val="11"/>
        <rFont val="Arial"/>
        <family val="2"/>
      </rPr>
      <t>e</t>
    </r>
    <r>
      <rPr>
        <vertAlign val="subscript"/>
        <sz val="11"/>
        <rFont val="Arial"/>
        <family val="2"/>
      </rPr>
      <t>1</t>
    </r>
  </si>
  <si>
    <r>
      <rPr>
        <sz val="11"/>
        <rFont val="Arial"/>
        <family val="2"/>
      </rPr>
      <t>f</t>
    </r>
    <r>
      <rPr>
        <vertAlign val="subscript"/>
        <sz val="11"/>
        <rFont val="Arial"/>
        <family val="2"/>
      </rPr>
      <t>1</t>
    </r>
  </si>
  <si>
    <r>
      <rPr>
        <sz val="11"/>
        <rFont val="Arial"/>
        <family val="2"/>
      </rPr>
      <t>g</t>
    </r>
    <r>
      <rPr>
        <vertAlign val="subscript"/>
        <sz val="11"/>
        <rFont val="Arial"/>
        <family val="2"/>
      </rPr>
      <t>1</t>
    </r>
  </si>
  <si>
    <t>VCOMP2</t>
  </si>
  <si>
    <r>
      <rPr>
        <sz val="11"/>
        <rFont val="Arial"/>
        <family val="2"/>
      </rPr>
      <t>a</t>
    </r>
    <r>
      <rPr>
        <vertAlign val="subscript"/>
        <sz val="11"/>
        <rFont val="Arial"/>
        <family val="2"/>
      </rPr>
      <t>2</t>
    </r>
  </si>
  <si>
    <r>
      <rPr>
        <sz val="11"/>
        <rFont val="Arial"/>
        <family val="2"/>
      </rPr>
      <t>b</t>
    </r>
    <r>
      <rPr>
        <vertAlign val="subscript"/>
        <sz val="11"/>
        <rFont val="Arial"/>
        <family val="2"/>
      </rPr>
      <t>2</t>
    </r>
  </si>
  <si>
    <r>
      <rPr>
        <sz val="11"/>
        <rFont val="Arial"/>
        <family val="2"/>
      </rPr>
      <t>c</t>
    </r>
    <r>
      <rPr>
        <vertAlign val="subscript"/>
        <sz val="11"/>
        <rFont val="Arial"/>
        <family val="2"/>
      </rPr>
      <t>2</t>
    </r>
  </si>
  <si>
    <r>
      <rPr>
        <sz val="11"/>
        <rFont val="Arial"/>
        <family val="2"/>
      </rPr>
      <t>d</t>
    </r>
    <r>
      <rPr>
        <vertAlign val="subscript"/>
        <sz val="11"/>
        <rFont val="Arial"/>
        <family val="2"/>
      </rPr>
      <t>2</t>
    </r>
  </si>
  <si>
    <r>
      <rPr>
        <sz val="11"/>
        <rFont val="Arial"/>
        <family val="2"/>
      </rPr>
      <t>e</t>
    </r>
    <r>
      <rPr>
        <vertAlign val="subscript"/>
        <sz val="11"/>
        <rFont val="Arial"/>
        <family val="2"/>
      </rPr>
      <t>2</t>
    </r>
  </si>
  <si>
    <r>
      <rPr>
        <sz val="11"/>
        <rFont val="Arial"/>
        <family val="2"/>
      </rPr>
      <t>f</t>
    </r>
    <r>
      <rPr>
        <vertAlign val="subscript"/>
        <sz val="11"/>
        <rFont val="Arial"/>
        <family val="2"/>
      </rPr>
      <t>2</t>
    </r>
  </si>
  <si>
    <r>
      <rPr>
        <sz val="11"/>
        <rFont val="Arial"/>
        <family val="2"/>
      </rPr>
      <t>g</t>
    </r>
    <r>
      <rPr>
        <vertAlign val="subscript"/>
        <sz val="11"/>
        <rFont val="Arial"/>
        <family val="2"/>
      </rPr>
      <t>2</t>
    </r>
  </si>
  <si>
    <t>VCOMP3</t>
  </si>
  <si>
    <r>
      <rPr>
        <sz val="11"/>
        <rFont val="Arial"/>
        <family val="2"/>
      </rPr>
      <t>a</t>
    </r>
    <r>
      <rPr>
        <vertAlign val="subscript"/>
        <sz val="11"/>
        <rFont val="Arial"/>
        <family val="2"/>
      </rPr>
      <t>3</t>
    </r>
  </si>
  <si>
    <r>
      <rPr>
        <sz val="11"/>
        <rFont val="Arial"/>
        <family val="2"/>
      </rPr>
      <t>b</t>
    </r>
    <r>
      <rPr>
        <vertAlign val="subscript"/>
        <sz val="11"/>
        <rFont val="Arial"/>
        <family val="2"/>
      </rPr>
      <t>3</t>
    </r>
  </si>
  <si>
    <t>VCOMP4</t>
  </si>
  <si>
    <t>Data For Current Averaging Bode Plot</t>
  </si>
  <si>
    <t>Data For Open Loop Voltage Bode Plot</t>
  </si>
  <si>
    <t>Data for Closed Loop Voltage Bode Plot</t>
  </si>
  <si>
    <t>Log scale converter</t>
  </si>
  <si>
    <t>Total Open Loop Phase</t>
  </si>
  <si>
    <t>EA Gain</t>
  </si>
  <si>
    <t>Total Closed Voltage Loop Bode Plot</t>
  </si>
  <si>
    <t>frequency</t>
  </si>
  <si>
    <t>w</t>
  </si>
  <si>
    <t>Gain</t>
  </si>
  <si>
    <t>Phase</t>
  </si>
  <si>
    <t>Voltage Feedback Gain</t>
  </si>
  <si>
    <t>PWM to Power Stage Gain</t>
  </si>
  <si>
    <t>Total Open Loop Gain</t>
  </si>
  <si>
    <t>Phase Margin</t>
  </si>
  <si>
    <t>rad</t>
  </si>
  <si>
    <t>degrees</t>
  </si>
  <si>
    <t>V/V</t>
  </si>
  <si>
    <t>1+sRVCOMPCVCOMP</t>
  </si>
  <si>
    <t>s(CVCOMP+CVCOMP_P)</t>
  </si>
  <si>
    <t>1+S(rvcompcvcompcvcomp_p/CVCOMP+CVCOMPP)</t>
  </si>
  <si>
    <t>Data for Current Averaging Chart</t>
  </si>
  <si>
    <t>x</t>
  </si>
  <si>
    <t>a(x)</t>
  </si>
  <si>
    <t>VIN(x)</t>
  </si>
  <si>
    <t>IAVG(x)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</si>
</sst>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E+00"/>
    <numFmt numFmtId="177" formatCode="0.000"/>
  </numFmts>
  <fonts count="39" x14ac:knownFonts="1">
    <font>
      <sz val="10"/>
      <name val="Arial"/>
      <charset val="134"/>
    </font>
    <font>
      <sz val="10"/>
      <color rgb="FFFF0000"/>
      <name val="Arial"/>
      <family val="2"/>
    </font>
    <font>
      <sz val="11"/>
      <name val="Arial"/>
      <family val="2"/>
    </font>
    <font>
      <sz val="11"/>
      <color theme="1"/>
      <name val="Arial"/>
      <family val="2"/>
    </font>
    <font>
      <sz val="10"/>
      <color rgb="FFFF0000"/>
      <name val="Symbol"/>
      <charset val="2"/>
    </font>
    <font>
      <b/>
      <sz val="16"/>
      <name val="Arial"/>
      <family val="2"/>
    </font>
    <font>
      <b/>
      <sz val="14"/>
      <name val="Arial"/>
      <family val="2"/>
    </font>
    <font>
      <sz val="16"/>
      <color indexed="10"/>
      <name val="Arial"/>
      <family val="2"/>
    </font>
    <font>
      <sz val="16"/>
      <name val="Arial"/>
      <family val="2"/>
    </font>
    <font>
      <sz val="16"/>
      <name val="Symbol"/>
      <charset val="2"/>
    </font>
    <font>
      <sz val="18"/>
      <name val="Arial"/>
      <family val="2"/>
    </font>
    <font>
      <b/>
      <sz val="20"/>
      <color indexed="10"/>
      <name val="Arial"/>
      <family val="2"/>
    </font>
    <font>
      <b/>
      <sz val="10"/>
      <name val="Arial"/>
      <family val="2"/>
    </font>
    <font>
      <sz val="8"/>
      <name val="Arial"/>
      <family val="2"/>
    </font>
    <font>
      <b/>
      <sz val="18"/>
      <name val="Arial"/>
      <family val="2"/>
    </font>
    <font>
      <b/>
      <sz val="12"/>
      <name val="Arial"/>
      <family val="2"/>
    </font>
    <font>
      <b/>
      <sz val="14"/>
      <color indexed="10"/>
      <name val="Arial"/>
      <family val="2"/>
    </font>
    <font>
      <b/>
      <sz val="10"/>
      <color rgb="FFFF0000"/>
      <name val="Arial"/>
      <family val="2"/>
    </font>
    <font>
      <sz val="10"/>
      <name val="Symbol"/>
      <charset val="2"/>
    </font>
    <font>
      <sz val="10"/>
      <color indexed="10"/>
      <name val="Arial"/>
      <family val="2"/>
    </font>
    <font>
      <b/>
      <sz val="10"/>
      <color indexed="10"/>
      <name val="Arial"/>
      <family val="2"/>
    </font>
    <font>
      <b/>
      <sz val="10"/>
      <name val="Symbol"/>
      <charset val="2"/>
    </font>
    <font>
      <b/>
      <sz val="11"/>
      <name val="Arial"/>
      <family val="2"/>
    </font>
    <font>
      <sz val="12"/>
      <name val="Arial"/>
      <family val="2"/>
    </font>
    <font>
      <b/>
      <sz val="12"/>
      <color rgb="FFFF0000"/>
      <name val="Arial"/>
      <family val="2"/>
    </font>
    <font>
      <b/>
      <sz val="26"/>
      <color indexed="10"/>
      <name val="Arial"/>
      <family val="2"/>
    </font>
    <font>
      <sz val="20"/>
      <name val="Arial"/>
      <family val="2"/>
    </font>
    <font>
      <vertAlign val="subscript"/>
      <sz val="11"/>
      <name val="Arial"/>
      <family val="2"/>
    </font>
    <font>
      <vertAlign val="subscript"/>
      <sz val="10"/>
      <name val="Arial"/>
      <family val="2"/>
    </font>
    <font>
      <b/>
      <i/>
      <sz val="14"/>
      <color indexed="10"/>
      <name val="Arial"/>
      <family val="2"/>
    </font>
    <font>
      <b/>
      <vertAlign val="subscript"/>
      <sz val="10"/>
      <name val="Arial"/>
      <family val="2"/>
    </font>
    <font>
      <sz val="11"/>
      <color indexed="8"/>
      <name val="Calibri"/>
      <family val="2"/>
    </font>
    <font>
      <sz val="11"/>
      <color indexed="8"/>
      <name val="Arial"/>
      <family val="2"/>
    </font>
    <font>
      <vertAlign val="subscript"/>
      <sz val="10"/>
      <name val="Symbol"/>
      <charset val="2"/>
    </font>
    <font>
      <b/>
      <sz val="12"/>
      <color indexed="10"/>
      <name val="Arial"/>
      <family val="2"/>
    </font>
    <font>
      <vertAlign val="subscript"/>
      <sz val="20"/>
      <name val="Arial"/>
      <family val="2"/>
    </font>
    <font>
      <vertAlign val="subscript"/>
      <sz val="16"/>
      <name val="Arial"/>
      <family val="2"/>
    </font>
    <font>
      <sz val="10"/>
      <name val="Arial"/>
      <family val="2"/>
    </font>
    <font>
      <sz val="9"/>
      <name val="Arial"/>
      <family val="2"/>
    </font>
  </fonts>
  <fills count="6">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indexed="13"/>
        <bgColor indexed="64"/>
      </patternFill>
    </fill>
    <fill>
      <patternFill patternType="solid">
        <fgColor rgb="FFFFFF00"/>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s>
  <cellStyleXfs count="1">
    <xf numFmtId="0" fontId="0" fillId="0" borderId="0"/>
  </cellStyleXfs>
  <cellXfs count="201">
    <xf numFmtId="0" fontId="0" fillId="0" borderId="0" xfId="0"/>
    <xf numFmtId="0" fontId="1" fillId="0" borderId="0" xfId="0" applyFont="1" applyBorder="1" applyAlignment="1" applyProtection="1">
      <alignment vertical="center"/>
    </xf>
    <xf numFmtId="0" fontId="2" fillId="0" borderId="1" xfId="0" applyFont="1" applyBorder="1" applyAlignment="1" applyProtection="1">
      <alignment vertical="center"/>
    </xf>
    <xf numFmtId="0" fontId="0" fillId="0" borderId="0" xfId="0" applyFont="1" applyBorder="1" applyAlignment="1" applyProtection="1">
      <alignment vertical="center"/>
    </xf>
    <xf numFmtId="0" fontId="3" fillId="2" borderId="1" xfId="0" applyFont="1" applyFill="1" applyBorder="1" applyProtection="1"/>
    <xf numFmtId="176" fontId="3" fillId="2" borderId="1" xfId="0" applyNumberFormat="1" applyFont="1" applyFill="1" applyBorder="1" applyProtection="1"/>
    <xf numFmtId="0" fontId="2" fillId="0" borderId="0" xfId="0" applyFont="1" applyBorder="1" applyAlignment="1" applyProtection="1">
      <alignment vertical="center"/>
    </xf>
    <xf numFmtId="0" fontId="1" fillId="0" borderId="0" xfId="0" applyFont="1" applyBorder="1" applyAlignment="1" applyProtection="1">
      <alignment horizontal="center" vertical="center"/>
    </xf>
    <xf numFmtId="177" fontId="1" fillId="0" borderId="0" xfId="0" applyNumberFormat="1" applyFont="1" applyBorder="1" applyAlignment="1" applyProtection="1">
      <alignment horizontal="center" vertical="center" shrinkToFit="1"/>
    </xf>
    <xf numFmtId="177" fontId="1" fillId="0" borderId="0" xfId="0" applyNumberFormat="1" applyFont="1" applyBorder="1" applyAlignment="1" applyProtection="1">
      <alignment horizontal="center" vertical="center"/>
    </xf>
    <xf numFmtId="0" fontId="0" fillId="0" borderId="1" xfId="0" applyFont="1" applyBorder="1" applyAlignment="1" applyProtection="1">
      <alignment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11" fontId="2" fillId="0" borderId="1" xfId="0" applyNumberFormat="1" applyFont="1" applyBorder="1" applyAlignment="1" applyProtection="1">
      <alignment vertical="center"/>
    </xf>
    <xf numFmtId="0" fontId="0" fillId="0" borderId="0" xfId="0" applyFont="1"/>
    <xf numFmtId="0" fontId="4" fillId="0" borderId="0" xfId="0" applyFont="1" applyBorder="1" applyAlignment="1" applyProtection="1">
      <alignment vertical="center"/>
    </xf>
    <xf numFmtId="177" fontId="1" fillId="0" borderId="0" xfId="0" applyNumberFormat="1" applyFont="1" applyBorder="1" applyAlignment="1" applyProtection="1">
      <alignment vertical="center"/>
    </xf>
    <xf numFmtId="0" fontId="1" fillId="0" borderId="0" xfId="0" applyFont="1" applyFill="1" applyBorder="1" applyAlignment="1" applyProtection="1">
      <alignment vertical="center"/>
    </xf>
    <xf numFmtId="177" fontId="1" fillId="0" borderId="0" xfId="0" applyNumberFormat="1" applyFont="1" applyFill="1" applyBorder="1" applyAlignment="1" applyProtection="1">
      <alignment vertical="center"/>
    </xf>
    <xf numFmtId="0" fontId="0" fillId="0" borderId="0" xfId="0" applyAlignment="1">
      <alignment vertical="center"/>
    </xf>
    <xf numFmtId="0" fontId="5" fillId="0" borderId="0" xfId="0" applyFont="1" applyAlignment="1" applyProtection="1">
      <alignment vertical="center"/>
      <protection locked="0"/>
    </xf>
    <xf numFmtId="0" fontId="5" fillId="3" borderId="7" xfId="0" applyFont="1" applyFill="1" applyBorder="1" applyAlignment="1">
      <alignment vertical="center" wrapText="1"/>
    </xf>
    <xf numFmtId="0" fontId="8" fillId="0" borderId="5" xfId="0" applyFont="1" applyBorder="1" applyAlignment="1">
      <alignment vertical="center"/>
    </xf>
    <xf numFmtId="0" fontId="8" fillId="0" borderId="0" xfId="0" applyFont="1" applyBorder="1" applyAlignment="1">
      <alignment vertical="center"/>
    </xf>
    <xf numFmtId="0" fontId="8" fillId="0" borderId="11" xfId="0" applyFont="1" applyBorder="1" applyAlignment="1">
      <alignment vertical="center"/>
    </xf>
    <xf numFmtId="0" fontId="8" fillId="0" borderId="13" xfId="0" applyFont="1" applyBorder="1" applyAlignment="1">
      <alignment vertical="center"/>
    </xf>
    <xf numFmtId="2" fontId="8" fillId="0" borderId="13" xfId="0" applyNumberFormat="1" applyFont="1" applyBorder="1" applyAlignment="1">
      <alignment vertical="center"/>
    </xf>
    <xf numFmtId="0" fontId="8" fillId="0" borderId="14" xfId="0" applyFont="1" applyBorder="1" applyAlignment="1">
      <alignment vertical="center"/>
    </xf>
    <xf numFmtId="1" fontId="8" fillId="0" borderId="5" xfId="0" applyNumberFormat="1" applyFont="1" applyBorder="1" applyAlignment="1">
      <alignment vertical="center"/>
    </xf>
    <xf numFmtId="0" fontId="8" fillId="0" borderId="6" xfId="0" applyFont="1" applyBorder="1" applyAlignment="1">
      <alignment vertical="center"/>
    </xf>
    <xf numFmtId="2" fontId="8" fillId="0" borderId="0" xfId="0" applyNumberFormat="1" applyFont="1" applyBorder="1" applyAlignment="1">
      <alignment vertical="center"/>
    </xf>
    <xf numFmtId="0" fontId="9" fillId="0" borderId="11" xfId="0" applyFont="1" applyBorder="1" applyAlignment="1">
      <alignment vertical="center"/>
    </xf>
    <xf numFmtId="1" fontId="8" fillId="0" borderId="0" xfId="0" applyNumberFormat="1" applyFont="1" applyBorder="1" applyAlignment="1">
      <alignment vertical="center"/>
    </xf>
    <xf numFmtId="2" fontId="8" fillId="0" borderId="5" xfId="0" applyNumberFormat="1" applyFont="1" applyBorder="1" applyAlignment="1">
      <alignment vertical="center"/>
    </xf>
    <xf numFmtId="177" fontId="8" fillId="0" borderId="13" xfId="0" applyNumberFormat="1" applyFont="1" applyBorder="1" applyAlignment="1">
      <alignment vertical="center"/>
    </xf>
    <xf numFmtId="4" fontId="8" fillId="0" borderId="13" xfId="0" applyNumberFormat="1" applyFont="1" applyBorder="1" applyAlignment="1">
      <alignment vertical="center"/>
    </xf>
    <xf numFmtId="0" fontId="9" fillId="0" borderId="14" xfId="0" applyFont="1" applyBorder="1" applyAlignment="1">
      <alignment vertical="center"/>
    </xf>
    <xf numFmtId="1" fontId="8" fillId="0" borderId="13" xfId="0" applyNumberFormat="1" applyFont="1" applyBorder="1" applyAlignment="1">
      <alignment vertical="center"/>
    </xf>
    <xf numFmtId="177" fontId="8" fillId="0" borderId="0" xfId="0" applyNumberFormat="1" applyFont="1" applyBorder="1" applyAlignment="1">
      <alignment vertical="center"/>
    </xf>
    <xf numFmtId="0" fontId="0" fillId="0" borderId="0" xfId="0" applyAlignment="1">
      <alignment horizontal="left" vertical="center"/>
    </xf>
    <xf numFmtId="0" fontId="10" fillId="0" borderId="0" xfId="0" applyFont="1" applyAlignment="1" applyProtection="1">
      <alignment vertical="center"/>
    </xf>
    <xf numFmtId="0" fontId="0" fillId="0" borderId="0" xfId="0" applyAlignment="1" applyProtection="1">
      <alignment vertical="center"/>
    </xf>
    <xf numFmtId="0" fontId="14" fillId="0" borderId="0" xfId="0" applyFont="1" applyAlignment="1" applyProtection="1">
      <alignment horizontal="right" vertical="center" wrapText="1"/>
    </xf>
    <xf numFmtId="0" fontId="14" fillId="4" borderId="0" xfId="0" applyFont="1" applyFill="1" applyAlignment="1" applyProtection="1">
      <alignment horizontal="center" vertical="center"/>
    </xf>
    <xf numFmtId="0" fontId="0" fillId="0" borderId="18" xfId="0" applyBorder="1" applyAlignment="1" applyProtection="1">
      <alignment vertical="center"/>
    </xf>
    <xf numFmtId="0" fontId="0" fillId="0" borderId="1" xfId="0" applyBorder="1" applyAlignment="1" applyProtection="1">
      <alignment vertical="center"/>
    </xf>
    <xf numFmtId="0" fontId="0" fillId="4" borderId="1" xfId="0" applyFill="1" applyBorder="1" applyAlignment="1" applyProtection="1">
      <alignment vertical="center"/>
      <protection locked="0"/>
    </xf>
    <xf numFmtId="0" fontId="0" fillId="0" borderId="19" xfId="0" applyBorder="1" applyAlignment="1" applyProtection="1">
      <alignment vertical="center"/>
    </xf>
    <xf numFmtId="0" fontId="17" fillId="0" borderId="0" xfId="0" applyFont="1" applyAlignment="1" applyProtection="1">
      <alignment vertical="center"/>
    </xf>
    <xf numFmtId="0" fontId="18" fillId="0" borderId="1" xfId="0" applyFont="1" applyBorder="1" applyAlignment="1" applyProtection="1">
      <alignment vertical="center"/>
    </xf>
    <xf numFmtId="0" fontId="0" fillId="0" borderId="18" xfId="0" applyFill="1" applyBorder="1" applyAlignment="1" applyProtection="1">
      <alignment vertical="center"/>
    </xf>
    <xf numFmtId="0" fontId="0" fillId="0" borderId="1" xfId="0" applyFill="1" applyBorder="1" applyAlignment="1" applyProtection="1">
      <alignment vertical="center"/>
    </xf>
    <xf numFmtId="0" fontId="18" fillId="0" borderId="19" xfId="0" applyFont="1" applyBorder="1" applyAlignment="1" applyProtection="1">
      <alignment vertical="center"/>
    </xf>
    <xf numFmtId="0" fontId="0" fillId="0" borderId="20" xfId="0" applyBorder="1" applyAlignment="1" applyProtection="1">
      <alignment vertical="center"/>
    </xf>
    <xf numFmtId="0" fontId="0" fillId="0" borderId="21" xfId="0" applyBorder="1" applyAlignment="1" applyProtection="1">
      <alignment vertical="center"/>
    </xf>
    <xf numFmtId="177" fontId="19" fillId="0" borderId="21" xfId="0" applyNumberFormat="1" applyFont="1" applyFill="1" applyBorder="1" applyAlignment="1" applyProtection="1">
      <alignment vertical="center"/>
    </xf>
    <xf numFmtId="0" fontId="0" fillId="0" borderId="22" xfId="0" applyBorder="1" applyAlignment="1" applyProtection="1">
      <alignment vertical="center"/>
    </xf>
    <xf numFmtId="0" fontId="1" fillId="0" borderId="0" xfId="0" applyFont="1" applyAlignment="1" applyProtection="1">
      <alignment vertical="center"/>
    </xf>
    <xf numFmtId="177" fontId="19" fillId="0" borderId="1" xfId="0" applyNumberFormat="1" applyFont="1" applyBorder="1" applyAlignment="1" applyProtection="1">
      <alignment vertical="center"/>
    </xf>
    <xf numFmtId="0" fontId="0" fillId="0" borderId="20" xfId="0" applyFill="1" applyBorder="1" applyAlignment="1" applyProtection="1">
      <alignment vertical="center"/>
    </xf>
    <xf numFmtId="0" fontId="0" fillId="0" borderId="21" xfId="0" applyFill="1" applyBorder="1" applyAlignment="1" applyProtection="1">
      <alignment vertical="center"/>
    </xf>
    <xf numFmtId="0" fontId="0" fillId="0" borderId="22" xfId="0" applyFill="1" applyBorder="1" applyAlignment="1" applyProtection="1">
      <alignment vertical="center"/>
    </xf>
    <xf numFmtId="0" fontId="0" fillId="0" borderId="19" xfId="0" applyFill="1" applyBorder="1" applyAlignment="1" applyProtection="1">
      <alignment vertical="center"/>
    </xf>
    <xf numFmtId="177" fontId="19" fillId="0" borderId="21" xfId="0" applyNumberFormat="1" applyFont="1" applyBorder="1" applyAlignment="1" applyProtection="1">
      <alignment vertical="center"/>
    </xf>
    <xf numFmtId="0" fontId="18" fillId="0" borderId="22" xfId="0" applyFont="1" applyBorder="1" applyAlignment="1" applyProtection="1">
      <alignment vertical="center"/>
    </xf>
    <xf numFmtId="0" fontId="12" fillId="0" borderId="20" xfId="0" applyFont="1" applyBorder="1" applyAlignment="1" applyProtection="1">
      <alignment vertical="center"/>
    </xf>
    <xf numFmtId="0" fontId="12" fillId="0" borderId="21" xfId="0" applyFont="1" applyBorder="1" applyAlignment="1" applyProtection="1">
      <alignment horizontal="left" vertical="center"/>
    </xf>
    <xf numFmtId="177" fontId="20" fillId="0" borderId="21" xfId="0" applyNumberFormat="1" applyFont="1" applyBorder="1" applyAlignment="1" applyProtection="1">
      <alignment vertical="center"/>
    </xf>
    <xf numFmtId="0" fontId="21" fillId="0" borderId="22" xfId="0" applyFont="1" applyBorder="1" applyAlignment="1" applyProtection="1">
      <alignment vertical="center"/>
    </xf>
    <xf numFmtId="0" fontId="12" fillId="0" borderId="18" xfId="0" applyFont="1" applyBorder="1" applyAlignment="1" applyProtection="1">
      <alignment vertical="center"/>
    </xf>
    <xf numFmtId="0" fontId="12" fillId="0" borderId="1" xfId="0" applyFont="1" applyBorder="1" applyAlignment="1" applyProtection="1">
      <alignment vertical="center"/>
    </xf>
    <xf numFmtId="177" fontId="20" fillId="0" borderId="1" xfId="0" applyNumberFormat="1" applyFont="1" applyBorder="1" applyAlignment="1" applyProtection="1">
      <alignment vertical="center"/>
    </xf>
    <xf numFmtId="0" fontId="12" fillId="0" borderId="19" xfId="0" applyFont="1" applyBorder="1" applyAlignment="1" applyProtection="1">
      <alignment vertical="center"/>
    </xf>
    <xf numFmtId="0" fontId="19" fillId="0" borderId="1" xfId="0" applyFont="1" applyFill="1" applyBorder="1" applyAlignment="1" applyProtection="1">
      <alignment vertical="center"/>
    </xf>
    <xf numFmtId="0" fontId="19" fillId="0" borderId="1" xfId="0" applyFont="1" applyBorder="1" applyAlignment="1" applyProtection="1">
      <alignment vertical="center"/>
    </xf>
    <xf numFmtId="0" fontId="0" fillId="0" borderId="0" xfId="0" applyFont="1" applyBorder="1" applyAlignment="1" applyProtection="1">
      <alignment vertical="center"/>
      <protection hidden="1"/>
    </xf>
    <xf numFmtId="177" fontId="0" fillId="0" borderId="0" xfId="0" applyNumberFormat="1" applyFont="1" applyBorder="1" applyAlignment="1" applyProtection="1">
      <alignment horizontal="right" vertical="center" shrinkToFit="1"/>
      <protection hidden="1"/>
    </xf>
    <xf numFmtId="0" fontId="21" fillId="0" borderId="19" xfId="0" applyFont="1" applyBorder="1" applyAlignment="1" applyProtection="1">
      <alignment vertical="center"/>
    </xf>
    <xf numFmtId="177" fontId="0" fillId="4" borderId="1" xfId="0" applyNumberFormat="1" applyFill="1" applyBorder="1" applyAlignment="1" applyProtection="1">
      <alignment vertical="center"/>
      <protection locked="0"/>
    </xf>
    <xf numFmtId="0" fontId="0" fillId="0" borderId="26" xfId="0" applyFont="1" applyBorder="1" applyAlignment="1" applyProtection="1">
      <alignment vertical="center"/>
    </xf>
    <xf numFmtId="177" fontId="0" fillId="5" borderId="27" xfId="0" applyNumberFormat="1" applyFont="1" applyFill="1" applyBorder="1" applyAlignment="1" applyProtection="1">
      <alignment vertical="center"/>
      <protection locked="0"/>
    </xf>
    <xf numFmtId="0" fontId="12" fillId="0" borderId="21" xfId="0" applyFont="1" applyBorder="1" applyAlignment="1" applyProtection="1">
      <alignment vertical="center"/>
    </xf>
    <xf numFmtId="1" fontId="20" fillId="0" borderId="21" xfId="0" applyNumberFormat="1" applyFont="1" applyBorder="1" applyAlignment="1" applyProtection="1">
      <alignment vertical="center"/>
    </xf>
    <xf numFmtId="0" fontId="12" fillId="0" borderId="22" xfId="0" applyFont="1" applyBorder="1" applyAlignment="1" applyProtection="1">
      <alignment vertical="center"/>
    </xf>
    <xf numFmtId="177" fontId="19" fillId="0" borderId="1" xfId="0" applyNumberFormat="1" applyFont="1" applyFill="1" applyBorder="1" applyAlignment="1" applyProtection="1">
      <alignment vertical="center"/>
    </xf>
    <xf numFmtId="1" fontId="0" fillId="4" borderId="1" xfId="0" applyNumberFormat="1" applyFont="1" applyFill="1" applyBorder="1" applyAlignment="1" applyProtection="1">
      <alignment vertical="center"/>
      <protection locked="0"/>
    </xf>
    <xf numFmtId="0" fontId="20" fillId="0" borderId="1" xfId="0" applyFont="1" applyBorder="1" applyAlignment="1" applyProtection="1">
      <alignment vertical="center"/>
    </xf>
    <xf numFmtId="0" fontId="0" fillId="0" borderId="10" xfId="0" applyBorder="1" applyAlignment="1" applyProtection="1">
      <alignment vertical="center"/>
    </xf>
    <xf numFmtId="0" fontId="12" fillId="0" borderId="28" xfId="0" applyFont="1" applyBorder="1" applyAlignment="1" applyProtection="1">
      <alignment vertical="center"/>
    </xf>
    <xf numFmtId="0" fontId="0" fillId="0" borderId="28" xfId="0" applyBorder="1" applyAlignment="1" applyProtection="1">
      <alignment vertical="center"/>
    </xf>
    <xf numFmtId="0" fontId="0" fillId="4" borderId="2" xfId="0" applyFill="1" applyBorder="1" applyAlignment="1" applyProtection="1">
      <alignment vertical="center"/>
      <protection locked="0"/>
    </xf>
    <xf numFmtId="0" fontId="0" fillId="0" borderId="26" xfId="0" applyBorder="1" applyAlignment="1" applyProtection="1">
      <alignment horizontal="left" vertical="center"/>
    </xf>
    <xf numFmtId="0" fontId="0" fillId="0" borderId="19" xfId="0" applyFont="1" applyBorder="1" applyAlignment="1" applyProtection="1">
      <alignment vertical="center"/>
    </xf>
    <xf numFmtId="0" fontId="0" fillId="0" borderId="18" xfId="0" applyFont="1" applyBorder="1" applyAlignment="1" applyProtection="1">
      <alignment vertical="center"/>
    </xf>
    <xf numFmtId="0" fontId="0" fillId="0" borderId="20" xfId="0" applyFont="1" applyBorder="1" applyAlignment="1" applyProtection="1">
      <alignment vertical="center"/>
    </xf>
    <xf numFmtId="0" fontId="0" fillId="0" borderId="21" xfId="0" applyFont="1" applyBorder="1" applyAlignment="1" applyProtection="1">
      <alignment vertical="center"/>
    </xf>
    <xf numFmtId="0" fontId="0" fillId="0" borderId="22" xfId="0" applyFont="1" applyBorder="1" applyAlignment="1" applyProtection="1">
      <alignment vertical="center"/>
    </xf>
    <xf numFmtId="0" fontId="0" fillId="0" borderId="0" xfId="0" applyBorder="1" applyAlignment="1" applyProtection="1">
      <alignment vertical="center"/>
    </xf>
    <xf numFmtId="0" fontId="0" fillId="0" borderId="11" xfId="0" applyBorder="1" applyAlignment="1" applyProtection="1">
      <alignment vertical="center"/>
    </xf>
    <xf numFmtId="0" fontId="0" fillId="0" borderId="10" xfId="0" applyBorder="1" applyProtection="1"/>
    <xf numFmtId="0" fontId="0" fillId="0" borderId="0" xfId="0" applyBorder="1" applyProtection="1"/>
    <xf numFmtId="0" fontId="0" fillId="0" borderId="11" xfId="0" applyBorder="1" applyProtection="1"/>
    <xf numFmtId="0" fontId="23" fillId="0" borderId="11" xfId="0" applyFont="1" applyBorder="1" applyAlignment="1" applyProtection="1">
      <alignment horizontal="left" vertical="center"/>
    </xf>
    <xf numFmtId="0" fontId="0" fillId="0" borderId="19" xfId="0" applyFont="1" applyBorder="1" applyAlignment="1" applyProtection="1">
      <alignment horizontal="left" vertical="center"/>
    </xf>
    <xf numFmtId="0" fontId="0" fillId="0" borderId="7" xfId="0" applyBorder="1" applyAlignment="1" applyProtection="1">
      <alignment vertical="center"/>
    </xf>
    <xf numFmtId="0" fontId="0" fillId="0" borderId="9" xfId="0" applyFont="1" applyBorder="1" applyAlignment="1" applyProtection="1">
      <alignment horizontal="left" vertical="center"/>
    </xf>
    <xf numFmtId="177" fontId="19" fillId="0" borderId="1" xfId="0" applyNumberFormat="1" applyFont="1" applyBorder="1" applyAlignment="1" applyProtection="1">
      <alignment horizontal="right" vertical="center" shrinkToFit="1"/>
    </xf>
    <xf numFmtId="177" fontId="19" fillId="0" borderId="19" xfId="0" applyNumberFormat="1" applyFont="1" applyBorder="1" applyAlignment="1" applyProtection="1">
      <alignment horizontal="center" vertical="center"/>
    </xf>
    <xf numFmtId="177" fontId="19" fillId="0" borderId="1" xfId="0" applyNumberFormat="1" applyFont="1" applyBorder="1" applyAlignment="1" applyProtection="1">
      <alignment horizontal="right" vertical="center"/>
    </xf>
    <xf numFmtId="177" fontId="0" fillId="0" borderId="0" xfId="0" applyNumberFormat="1" applyAlignment="1" applyProtection="1">
      <alignment vertical="center"/>
    </xf>
    <xf numFmtId="177" fontId="19" fillId="4" borderId="1" xfId="0" applyNumberFormat="1" applyFont="1" applyFill="1" applyBorder="1" applyAlignment="1" applyProtection="1">
      <alignment horizontal="right" vertical="center"/>
      <protection locked="0"/>
    </xf>
    <xf numFmtId="0" fontId="0" fillId="0" borderId="0" xfId="0" applyProtection="1"/>
    <xf numFmtId="177" fontId="20" fillId="0" borderId="1" xfId="0" applyNumberFormat="1" applyFont="1" applyBorder="1" applyAlignment="1" applyProtection="1">
      <alignment horizontal="right" vertical="center"/>
    </xf>
    <xf numFmtId="177" fontId="19" fillId="0" borderId="0" xfId="0" applyNumberFormat="1" applyFont="1" applyBorder="1" applyAlignment="1" applyProtection="1">
      <alignment horizontal="right"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4" borderId="1" xfId="0" applyFont="1" applyFill="1" applyBorder="1" applyAlignment="1" applyProtection="1">
      <alignment vertical="center"/>
      <protection locked="0"/>
    </xf>
    <xf numFmtId="177" fontId="20" fillId="0" borderId="1" xfId="0" applyNumberFormat="1" applyFont="1" applyBorder="1" applyAlignment="1" applyProtection="1">
      <alignment horizontal="right" vertical="center" shrinkToFit="1"/>
    </xf>
    <xf numFmtId="177" fontId="0" fillId="0" borderId="0" xfId="0" applyNumberFormat="1"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0" fillId="0" borderId="14" xfId="0" applyBorder="1" applyAlignment="1" applyProtection="1">
      <alignment vertical="center"/>
    </xf>
    <xf numFmtId="2" fontId="0" fillId="2" borderId="1" xfId="0" applyNumberFormat="1" applyFill="1" applyBorder="1" applyAlignment="1" applyProtection="1">
      <alignment vertical="center"/>
    </xf>
    <xf numFmtId="0" fontId="15" fillId="0" borderId="18" xfId="0" applyFont="1" applyBorder="1" applyAlignment="1" applyProtection="1">
      <alignment horizontal="left" vertical="center"/>
    </xf>
    <xf numFmtId="0" fontId="15" fillId="0" borderId="1" xfId="0" applyFont="1" applyBorder="1" applyAlignment="1" applyProtection="1">
      <alignment horizontal="left" vertical="center"/>
    </xf>
    <xf numFmtId="0" fontId="24" fillId="5" borderId="1" xfId="0" applyFont="1" applyFill="1" applyBorder="1" applyAlignment="1" applyProtection="1">
      <alignment horizontal="left" vertical="center"/>
      <protection locked="0"/>
    </xf>
    <xf numFmtId="0" fontId="15" fillId="0" borderId="19" xfId="0" applyFont="1" applyBorder="1" applyAlignment="1" applyProtection="1">
      <alignment horizontal="left" vertical="center"/>
    </xf>
    <xf numFmtId="0" fontId="0" fillId="5" borderId="1" xfId="0" applyFill="1" applyBorder="1" applyProtection="1">
      <protection locked="0"/>
    </xf>
    <xf numFmtId="177" fontId="0" fillId="0" borderId="1" xfId="0" applyNumberFormat="1" applyBorder="1" applyAlignment="1" applyProtection="1">
      <alignment vertical="center"/>
    </xf>
    <xf numFmtId="0" fontId="0" fillId="5" borderId="0" xfId="0" applyFill="1" applyBorder="1" applyAlignment="1" applyProtection="1">
      <alignment vertical="center"/>
      <protection locked="0"/>
    </xf>
    <xf numFmtId="2" fontId="0" fillId="2" borderId="21" xfId="0" applyNumberFormat="1" applyFill="1" applyBorder="1" applyAlignment="1" applyProtection="1">
      <alignment vertical="center"/>
    </xf>
    <xf numFmtId="0" fontId="26" fillId="3" borderId="0" xfId="0" applyFont="1" applyFill="1" applyAlignment="1">
      <alignment vertical="center"/>
    </xf>
    <xf numFmtId="0" fontId="0" fillId="3" borderId="0" xfId="0" applyFill="1" applyAlignment="1">
      <alignment horizontal="center"/>
    </xf>
    <xf numFmtId="0" fontId="26" fillId="3" borderId="0" xfId="0" applyFont="1" applyFill="1" applyAlignment="1">
      <alignment horizontal="left" vertical="center" wrapText="1"/>
    </xf>
    <xf numFmtId="0" fontId="26" fillId="3" borderId="0" xfId="0" applyFont="1" applyFill="1" applyAlignment="1">
      <alignment horizontal="left" vertical="center"/>
    </xf>
    <xf numFmtId="0" fontId="25" fillId="3" borderId="0" xfId="0" applyFont="1" applyFill="1" applyAlignment="1">
      <alignment horizontal="center" vertical="center"/>
    </xf>
    <xf numFmtId="0" fontId="26" fillId="3" borderId="0" xfId="0" applyFont="1" applyFill="1" applyAlignment="1">
      <alignment vertical="center" wrapText="1"/>
    </xf>
    <xf numFmtId="0" fontId="0" fillId="0" borderId="5" xfId="0" applyBorder="1" applyAlignment="1" applyProtection="1">
      <alignment horizontal="center" vertical="center"/>
    </xf>
    <xf numFmtId="0" fontId="0" fillId="0" borderId="13" xfId="0" applyBorder="1" applyAlignment="1" applyProtection="1">
      <alignment horizontal="center" vertical="center"/>
    </xf>
    <xf numFmtId="0" fontId="13" fillId="2" borderId="10"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wrapText="1"/>
    </xf>
    <xf numFmtId="0" fontId="13" fillId="2" borderId="11" xfId="0" applyFont="1" applyFill="1" applyBorder="1" applyAlignment="1" applyProtection="1">
      <alignment horizontal="left" vertical="center" wrapText="1"/>
    </xf>
    <xf numFmtId="0" fontId="13" fillId="2" borderId="12" xfId="0" applyFont="1" applyFill="1" applyBorder="1" applyAlignment="1" applyProtection="1">
      <alignment horizontal="left" vertical="center" wrapText="1"/>
    </xf>
    <xf numFmtId="0" fontId="13" fillId="2" borderId="13" xfId="0" applyFont="1" applyFill="1" applyBorder="1" applyAlignment="1" applyProtection="1">
      <alignment horizontal="left" vertical="center" wrapText="1"/>
    </xf>
    <xf numFmtId="0" fontId="13" fillId="2" borderId="14" xfId="0" applyFont="1" applyFill="1" applyBorder="1" applyAlignment="1" applyProtection="1">
      <alignment horizontal="left" vertical="center" wrapText="1"/>
    </xf>
    <xf numFmtId="0" fontId="15" fillId="0" borderId="15" xfId="0" applyFont="1" applyBorder="1" applyAlignment="1" applyProtection="1">
      <alignment horizontal="left" vertical="center"/>
    </xf>
    <xf numFmtId="0" fontId="15" fillId="0" borderId="16" xfId="0" applyFont="1" applyBorder="1" applyAlignment="1" applyProtection="1">
      <alignment horizontal="left" vertical="center"/>
    </xf>
    <xf numFmtId="0" fontId="15" fillId="0" borderId="17" xfId="0" applyFont="1" applyBorder="1" applyAlignment="1" applyProtection="1">
      <alignment horizontal="left" vertical="center"/>
    </xf>
    <xf numFmtId="0" fontId="15" fillId="0" borderId="23" xfId="0" applyFont="1" applyBorder="1" applyAlignment="1" applyProtection="1">
      <alignment horizontal="left" vertical="center"/>
    </xf>
    <xf numFmtId="0" fontId="15" fillId="0" borderId="24" xfId="0" applyFont="1" applyBorder="1" applyAlignment="1" applyProtection="1">
      <alignment horizontal="left" vertical="center"/>
    </xf>
    <xf numFmtId="0" fontId="15" fillId="0" borderId="25" xfId="0" applyFont="1" applyBorder="1" applyAlignment="1" applyProtection="1">
      <alignment horizontal="left" vertical="center"/>
    </xf>
    <xf numFmtId="0" fontId="0" fillId="0" borderId="0" xfId="0" applyAlignment="1" applyProtection="1">
      <alignment horizontal="center" vertical="center"/>
    </xf>
    <xf numFmtId="0" fontId="6" fillId="0" borderId="0" xfId="0" applyFont="1" applyAlignment="1" applyProtection="1">
      <alignment horizontal="center" vertical="center"/>
    </xf>
    <xf numFmtId="0" fontId="16" fillId="0" borderId="0" xfId="0" applyFont="1" applyAlignment="1" applyProtection="1">
      <alignment horizontal="center" vertical="center"/>
    </xf>
    <xf numFmtId="0" fontId="15" fillId="0" borderId="31" xfId="0" applyFont="1" applyBorder="1" applyAlignment="1" applyProtection="1">
      <alignment horizontal="left" vertical="center"/>
    </xf>
    <xf numFmtId="0" fontId="15" fillId="0" borderId="32" xfId="0" applyFont="1" applyBorder="1" applyAlignment="1" applyProtection="1">
      <alignment horizontal="left" vertical="center"/>
    </xf>
    <xf numFmtId="0" fontId="15" fillId="0" borderId="33" xfId="0" applyFont="1" applyBorder="1" applyAlignment="1" applyProtection="1">
      <alignment horizontal="left" vertical="center"/>
    </xf>
    <xf numFmtId="0" fontId="0" fillId="0" borderId="5" xfId="0" applyBorder="1" applyAlignment="1" applyProtection="1">
      <alignment horizontal="center"/>
    </xf>
    <xf numFmtId="0" fontId="0" fillId="0" borderId="13" xfId="0" applyBorder="1" applyAlignment="1" applyProtection="1">
      <alignment horizontal="center"/>
    </xf>
    <xf numFmtId="0" fontId="22" fillId="0" borderId="28" xfId="0" applyFont="1" applyBorder="1" applyAlignment="1" applyProtection="1">
      <alignment horizontal="left" vertical="center"/>
    </xf>
    <xf numFmtId="0" fontId="22" fillId="0" borderId="29" xfId="0" applyFont="1" applyBorder="1" applyAlignment="1" applyProtection="1">
      <alignment horizontal="left" vertical="center"/>
    </xf>
    <xf numFmtId="0" fontId="22" fillId="0" borderId="30" xfId="0" applyFont="1" applyBorder="1" applyAlignment="1" applyProtection="1">
      <alignment horizontal="left" vertical="center"/>
    </xf>
    <xf numFmtId="0" fontId="22" fillId="0" borderId="10" xfId="0" applyFont="1" applyBorder="1" applyAlignment="1" applyProtection="1">
      <alignment horizontal="left" vertical="center"/>
    </xf>
    <xf numFmtId="0" fontId="22" fillId="0" borderId="0" xfId="0" applyFont="1" applyBorder="1" applyAlignment="1" applyProtection="1">
      <alignment horizontal="left" vertical="center"/>
    </xf>
    <xf numFmtId="0" fontId="22" fillId="0" borderId="11" xfId="0" applyFont="1" applyBorder="1" applyAlignment="1" applyProtection="1">
      <alignment horizontal="left"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0" borderId="30" xfId="0" applyFont="1" applyBorder="1" applyAlignment="1" applyProtection="1">
      <alignment horizontal="center" vertical="center"/>
    </xf>
    <xf numFmtId="177" fontId="20" fillId="3" borderId="28" xfId="0" applyNumberFormat="1" applyFont="1" applyFill="1" applyBorder="1" applyAlignment="1" applyProtection="1">
      <alignment horizontal="right" vertical="center"/>
    </xf>
    <xf numFmtId="177" fontId="20" fillId="3" borderId="29" xfId="0" applyNumberFormat="1" applyFont="1" applyFill="1" applyBorder="1" applyAlignment="1" applyProtection="1">
      <alignment horizontal="right" vertical="center"/>
    </xf>
    <xf numFmtId="177" fontId="20" fillId="3" borderId="30" xfId="0" applyNumberFormat="1" applyFont="1" applyFill="1" applyBorder="1" applyAlignment="1" applyProtection="1">
      <alignment horizontal="right" vertical="center"/>
    </xf>
    <xf numFmtId="0" fontId="11" fillId="0" borderId="0" xfId="0" applyFont="1" applyAlignment="1" applyProtection="1">
      <alignment horizontal="center" vertical="center" wrapText="1"/>
    </xf>
    <xf numFmtId="0" fontId="6" fillId="0" borderId="0" xfId="0" applyFont="1" applyAlignment="1" applyProtection="1">
      <alignment horizontal="center" vertical="center" wrapText="1"/>
    </xf>
    <xf numFmtId="0" fontId="0" fillId="0" borderId="0" xfId="0" applyFont="1" applyAlignment="1" applyProtection="1">
      <alignment horizontal="center" vertical="center"/>
    </xf>
    <xf numFmtId="0" fontId="12" fillId="2" borderId="4" xfId="0" applyFont="1" applyFill="1" applyBorder="1" applyAlignment="1" applyProtection="1">
      <alignment horizontal="left" vertical="center"/>
    </xf>
    <xf numFmtId="0" fontId="12" fillId="2" borderId="5" xfId="0" applyFont="1" applyFill="1" applyBorder="1" applyAlignment="1" applyProtection="1">
      <alignment horizontal="left" vertical="center"/>
    </xf>
    <xf numFmtId="0" fontId="12" fillId="2" borderId="6" xfId="0" applyFont="1" applyFill="1" applyBorder="1" applyAlignment="1" applyProtection="1">
      <alignment horizontal="left" vertical="center"/>
    </xf>
    <xf numFmtId="0" fontId="14" fillId="0" borderId="0" xfId="0" applyFont="1" applyAlignment="1" applyProtection="1">
      <alignment horizontal="left" vertical="center"/>
    </xf>
    <xf numFmtId="0" fontId="15" fillId="0" borderId="0" xfId="0" applyFont="1" applyAlignment="1" applyProtection="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8" fillId="0" borderId="0" xfId="0" applyFont="1" applyBorder="1" applyAlignment="1">
      <alignment horizontal="left" vertical="center"/>
    </xf>
    <xf numFmtId="0" fontId="8" fillId="0" borderId="13" xfId="0" applyFont="1" applyBorder="1" applyAlignment="1">
      <alignment horizontal="left" vertical="center"/>
    </xf>
    <xf numFmtId="0" fontId="5" fillId="0" borderId="0" xfId="0" applyFont="1" applyAlignment="1" applyProtection="1">
      <alignment horizontal="center" vertical="center"/>
      <protection locked="0"/>
    </xf>
    <xf numFmtId="0" fontId="7" fillId="0" borderId="4" xfId="0" applyFont="1" applyBorder="1" applyAlignment="1">
      <alignment horizontal="center" vertical="center"/>
    </xf>
    <xf numFmtId="0" fontId="8" fillId="0" borderId="0" xfId="0" applyFont="1" applyBorder="1" applyAlignment="1">
      <alignment horizontal="left" vertical="center" wrapText="1"/>
    </xf>
    <xf numFmtId="0" fontId="8" fillId="0" borderId="11"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5" xfId="0" applyFont="1" applyBorder="1" applyAlignment="1">
      <alignment horizontal="left" vertical="center"/>
    </xf>
    <xf numFmtId="0" fontId="8" fillId="0" borderId="6" xfId="0" applyFont="1" applyBorder="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3" borderId="8" xfId="0" applyFont="1" applyFill="1" applyBorder="1" applyAlignment="1">
      <alignment horizontal="left" vertical="center"/>
    </xf>
    <xf numFmtId="0" fontId="5" fillId="3" borderId="9" xfId="0" applyFont="1" applyFill="1" applyBorder="1" applyAlignment="1">
      <alignment horizontal="left" vertical="center"/>
    </xf>
    <xf numFmtId="0" fontId="1" fillId="0" borderId="0" xfId="0" applyFont="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0" xfId="0" applyFont="1" applyBorder="1" applyAlignment="1" applyProtection="1">
      <alignment vertical="center" wrapText="1"/>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633980511478199"/>
          <c:y val="3.04348149146728E-2"/>
        </c:manualLayout>
      </c:layout>
      <c:overlay val="0"/>
      <c:spPr>
        <a:noFill/>
        <a:ln w="25400">
          <a:noFill/>
        </a:ln>
      </c:spPr>
      <c:txPr>
        <a:bodyPr rot="0" spcFirstLastPara="0" vertOverflow="ellipsis" vert="horz" wrap="square" anchor="ctr" anchorCtr="1"/>
        <a:lstStyle/>
        <a:p>
          <a:pPr>
            <a:defRPr lang="zh-CN" sz="925" b="0" i="0" u="none" strike="noStrike" kern="1200" baseline="0">
              <a:solidFill>
                <a:srgbClr val="000000"/>
              </a:solidFill>
              <a:latin typeface="Arial" panose="020B0604020202020204"/>
              <a:ea typeface="Arial" panose="020B0604020202020204"/>
              <a:cs typeface="Arial" panose="020B0604020202020204"/>
            </a:defRPr>
          </a:pPr>
          <a:endParaRPr lang="zh-CN"/>
        </a:p>
      </c:txPr>
    </c:title>
    <c:autoTitleDeleted val="0"/>
    <c:plotArea>
      <c:layout>
        <c:manualLayout>
          <c:layoutTarget val="inner"/>
          <c:xMode val="edge"/>
          <c:yMode val="edge"/>
          <c:x val="9.5490778019040407E-2"/>
          <c:y val="0.14347841316917201"/>
          <c:w val="0.69628692305550299"/>
          <c:h val="0.67173984347384896"/>
        </c:manualLayout>
      </c:layout>
      <c:scatterChart>
        <c:scatterStyle val="lineMarker"/>
        <c:varyColors val="0"/>
        <c:ser>
          <c:idx val="0"/>
          <c:order val="0"/>
          <c:tx>
            <c:v>M1M2 vs VCOMP</c:v>
          </c:tx>
          <c:spPr>
            <a:ln w="38100" cap="rnd" cmpd="sng" algn="ctr">
              <a:solidFill>
                <a:srgbClr val="FF0000"/>
              </a:solidFill>
              <a:prstDash val="solid"/>
              <a:round/>
            </a:ln>
          </c:spPr>
          <c:marker>
            <c:symbol val="none"/>
          </c:marker>
          <c:xVal>
            <c:numRef>
              <c:f>data!$A$33:$A$173</c:f>
              <c:numCache>
                <c:formatCode>General</c:formatCode>
                <c:ptCount val="14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3.5999999999999899</c:v>
                </c:pt>
                <c:pt idx="73">
                  <c:v>3.6499999999999901</c:v>
                </c:pt>
                <c:pt idx="74">
                  <c:v>3.69999999999999</c:v>
                </c:pt>
                <c:pt idx="75">
                  <c:v>3.7499999999999898</c:v>
                </c:pt>
                <c:pt idx="76">
                  <c:v>3.7999999999999901</c:v>
                </c:pt>
                <c:pt idx="77">
                  <c:v>3.8499999999999899</c:v>
                </c:pt>
                <c:pt idx="78">
                  <c:v>3.8999999999999901</c:v>
                </c:pt>
                <c:pt idx="79">
                  <c:v>3.94999999999999</c:v>
                </c:pt>
                <c:pt idx="80">
                  <c:v>3.9999999999999898</c:v>
                </c:pt>
                <c:pt idx="81">
                  <c:v>4.0499999999999901</c:v>
                </c:pt>
                <c:pt idx="82">
                  <c:v>4.0999999999999899</c:v>
                </c:pt>
                <c:pt idx="83">
                  <c:v>4.1499999999999897</c:v>
                </c:pt>
                <c:pt idx="84">
                  <c:v>4.1999999999999904</c:v>
                </c:pt>
                <c:pt idx="85">
                  <c:v>4.2499999999999902</c:v>
                </c:pt>
                <c:pt idx="86">
                  <c:v>4.2999999999999901</c:v>
                </c:pt>
                <c:pt idx="87">
                  <c:v>4.3499999999999899</c:v>
                </c:pt>
                <c:pt idx="88">
                  <c:v>4.3999999999999897</c:v>
                </c:pt>
                <c:pt idx="89">
                  <c:v>4.4499999999999904</c:v>
                </c:pt>
                <c:pt idx="90">
                  <c:v>4.4999999999999902</c:v>
                </c:pt>
                <c:pt idx="91">
                  <c:v>4.5499999999999901</c:v>
                </c:pt>
                <c:pt idx="92">
                  <c:v>4.5999999999999899</c:v>
                </c:pt>
                <c:pt idx="93">
                  <c:v>4.6499999999999897</c:v>
                </c:pt>
                <c:pt idx="94">
                  <c:v>4.6999999999999904</c:v>
                </c:pt>
                <c:pt idx="95">
                  <c:v>4.7499999999999902</c:v>
                </c:pt>
                <c:pt idx="96">
                  <c:v>4.7999999999999901</c:v>
                </c:pt>
                <c:pt idx="97">
                  <c:v>4.8499999999999899</c:v>
                </c:pt>
                <c:pt idx="98">
                  <c:v>4.8999999999999897</c:v>
                </c:pt>
                <c:pt idx="99">
                  <c:v>4.9499999999999904</c:v>
                </c:pt>
                <c:pt idx="100">
                  <c:v>4.9999999999999902</c:v>
                </c:pt>
                <c:pt idx="101">
                  <c:v>5.0499999999999901</c:v>
                </c:pt>
                <c:pt idx="102">
                  <c:v>5.0999999999999899</c:v>
                </c:pt>
                <c:pt idx="103">
                  <c:v>5.1499999999999897</c:v>
                </c:pt>
                <c:pt idx="104">
                  <c:v>5.1999999999999904</c:v>
                </c:pt>
                <c:pt idx="105">
                  <c:v>5.2499999999999902</c:v>
                </c:pt>
                <c:pt idx="106">
                  <c:v>5.2999999999999901</c:v>
                </c:pt>
                <c:pt idx="107">
                  <c:v>5.3499999999999899</c:v>
                </c:pt>
                <c:pt idx="108">
                  <c:v>5.3999999999999897</c:v>
                </c:pt>
                <c:pt idx="109">
                  <c:v>5.4499999999999904</c:v>
                </c:pt>
                <c:pt idx="110">
                  <c:v>5.4999999999999902</c:v>
                </c:pt>
                <c:pt idx="111">
                  <c:v>5.5499999999999901</c:v>
                </c:pt>
                <c:pt idx="112">
                  <c:v>5.5999999999999899</c:v>
                </c:pt>
                <c:pt idx="113">
                  <c:v>5.6499999999999897</c:v>
                </c:pt>
                <c:pt idx="114">
                  <c:v>5.6999999999999904</c:v>
                </c:pt>
                <c:pt idx="115">
                  <c:v>5.7499999999999902</c:v>
                </c:pt>
                <c:pt idx="116">
                  <c:v>5.7999999999999901</c:v>
                </c:pt>
                <c:pt idx="117">
                  <c:v>5.8499999999999899</c:v>
                </c:pt>
                <c:pt idx="118">
                  <c:v>5.8999999999999897</c:v>
                </c:pt>
                <c:pt idx="119">
                  <c:v>5.9499999999999904</c:v>
                </c:pt>
                <c:pt idx="120">
                  <c:v>5.9999999999999902</c:v>
                </c:pt>
                <c:pt idx="121">
                  <c:v>6.0499999999999901</c:v>
                </c:pt>
                <c:pt idx="122">
                  <c:v>6.0999999999999899</c:v>
                </c:pt>
                <c:pt idx="123">
                  <c:v>6.1499999999999897</c:v>
                </c:pt>
                <c:pt idx="124">
                  <c:v>6.1999999999999904</c:v>
                </c:pt>
                <c:pt idx="125">
                  <c:v>6.2499999999999902</c:v>
                </c:pt>
                <c:pt idx="126">
                  <c:v>6.2999999999999901</c:v>
                </c:pt>
                <c:pt idx="127">
                  <c:v>6.3499999999999899</c:v>
                </c:pt>
                <c:pt idx="128">
                  <c:v>6.3999999999999897</c:v>
                </c:pt>
                <c:pt idx="129">
                  <c:v>6.4499999999999904</c:v>
                </c:pt>
                <c:pt idx="130">
                  <c:v>6.4999999999999796</c:v>
                </c:pt>
                <c:pt idx="131">
                  <c:v>6.5499999999999803</c:v>
                </c:pt>
                <c:pt idx="132">
                  <c:v>6.5999999999999801</c:v>
                </c:pt>
                <c:pt idx="133">
                  <c:v>6.6499999999999799</c:v>
                </c:pt>
                <c:pt idx="134">
                  <c:v>6.6999999999999797</c:v>
                </c:pt>
                <c:pt idx="135">
                  <c:v>6.7499999999999796</c:v>
                </c:pt>
                <c:pt idx="136">
                  <c:v>6.7999999999999803</c:v>
                </c:pt>
                <c:pt idx="137">
                  <c:v>6.8499999999999801</c:v>
                </c:pt>
                <c:pt idx="138">
                  <c:v>6.8999999999999799</c:v>
                </c:pt>
                <c:pt idx="139">
                  <c:v>6.9499999999999797</c:v>
                </c:pt>
                <c:pt idx="140">
                  <c:v>6.9999999999999796</c:v>
                </c:pt>
              </c:numCache>
            </c:numRef>
          </c:xVal>
          <c:yVal>
            <c:numRef>
              <c:f>data!$D$33:$D$173</c:f>
              <c:numCache>
                <c:formatCode>0.000</c:formatCode>
                <c:ptCount val="1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1.9568000000000599E-5</c:v>
                </c:pt>
                <c:pt idx="32">
                  <c:v>7.8272000000001205E-5</c:v>
                </c:pt>
                <c:pt idx="33">
                  <c:v>1.76112000000002E-4</c:v>
                </c:pt>
                <c:pt idx="34">
                  <c:v>3.1308800000000298E-4</c:v>
                </c:pt>
                <c:pt idx="35">
                  <c:v>4.8920000000000398E-4</c:v>
                </c:pt>
                <c:pt idx="36">
                  <c:v>7.0444800000000498E-4</c:v>
                </c:pt>
                <c:pt idx="37">
                  <c:v>9.5883200000000505E-4</c:v>
                </c:pt>
                <c:pt idx="38">
                  <c:v>1.25235200000001E-3</c:v>
                </c:pt>
                <c:pt idx="39">
                  <c:v>1.5850080000000099E-3</c:v>
                </c:pt>
                <c:pt idx="40">
                  <c:v>1.9568000000000098E-3</c:v>
                </c:pt>
                <c:pt idx="41">
                  <c:v>2.62484846250001E-3</c:v>
                </c:pt>
                <c:pt idx="42">
                  <c:v>3.4297812000000098E-3</c:v>
                </c:pt>
                <c:pt idx="43">
                  <c:v>4.38434798750001E-3</c:v>
                </c:pt>
                <c:pt idx="44">
                  <c:v>5.5012986000000097E-3</c:v>
                </c:pt>
                <c:pt idx="45">
                  <c:v>6.7933828125000002E-3</c:v>
                </c:pt>
                <c:pt idx="46">
                  <c:v>8.2733504000000006E-3</c:v>
                </c:pt>
                <c:pt idx="47">
                  <c:v>9.9539511374999896E-3</c:v>
                </c:pt>
                <c:pt idx="48">
                  <c:v>1.1847934799999999E-2</c:v>
                </c:pt>
                <c:pt idx="49">
                  <c:v>1.39680511625E-2</c:v>
                </c:pt>
                <c:pt idx="50">
                  <c:v>1.6327049999999999E-2</c:v>
                </c:pt>
                <c:pt idx="51">
                  <c:v>1.8937681087499901E-2</c:v>
                </c:pt>
                <c:pt idx="52">
                  <c:v>2.1812694199999899E-2</c:v>
                </c:pt>
                <c:pt idx="53">
                  <c:v>2.4964839112499901E-2</c:v>
                </c:pt>
                <c:pt idx="54">
                  <c:v>2.84068655999999E-2</c:v>
                </c:pt>
                <c:pt idx="55">
                  <c:v>3.2151523437499899E-2</c:v>
                </c:pt>
                <c:pt idx="56">
                  <c:v>3.62115623999998E-2</c:v>
                </c:pt>
                <c:pt idx="57">
                  <c:v>4.0599732262499799E-2</c:v>
                </c:pt>
                <c:pt idx="58">
                  <c:v>4.5328782799999801E-2</c:v>
                </c:pt>
                <c:pt idx="59">
                  <c:v>5.0411463787499798E-2</c:v>
                </c:pt>
                <c:pt idx="60">
                  <c:v>5.6410874999999597E-2</c:v>
                </c:pt>
                <c:pt idx="61">
                  <c:v>6.4333147962499601E-2</c:v>
                </c:pt>
                <c:pt idx="62">
                  <c:v>7.2918195199999494E-2</c:v>
                </c:pt>
                <c:pt idx="63">
                  <c:v>8.2191607987499402E-2</c:v>
                </c:pt>
                <c:pt idx="64">
                  <c:v>9.2178977599999296E-2</c:v>
                </c:pt>
                <c:pt idx="65">
                  <c:v>0.102905895312499</c:v>
                </c:pt>
                <c:pt idx="66">
                  <c:v>0.114397952399999</c:v>
                </c:pt>
                <c:pt idx="67">
                  <c:v>0.126680740137499</c:v>
                </c:pt>
                <c:pt idx="68">
                  <c:v>0.139779849799999</c:v>
                </c:pt>
                <c:pt idx="69">
                  <c:v>0.15372087266249901</c:v>
                </c:pt>
                <c:pt idx="70">
                  <c:v>0.168529399999999</c:v>
                </c:pt>
                <c:pt idx="71">
                  <c:v>0.184231023087499</c:v>
                </c:pt>
                <c:pt idx="72">
                  <c:v>0.20085133319999801</c:v>
                </c:pt>
                <c:pt idx="73">
                  <c:v>0.21841592161249801</c:v>
                </c:pt>
                <c:pt idx="74">
                  <c:v>0.23695037959999801</c:v>
                </c:pt>
                <c:pt idx="75">
                  <c:v>0.25648029843749798</c:v>
                </c:pt>
                <c:pt idx="76">
                  <c:v>0.277031269399998</c:v>
                </c:pt>
                <c:pt idx="77">
                  <c:v>0.29862888376249802</c:v>
                </c:pt>
                <c:pt idx="78">
                  <c:v>0.32129873279999699</c:v>
                </c:pt>
                <c:pt idx="79">
                  <c:v>0.34506640778749698</c:v>
                </c:pt>
                <c:pt idx="80">
                  <c:v>0.369957499999997</c:v>
                </c:pt>
                <c:pt idx="81">
                  <c:v>0.39599760071249701</c:v>
                </c:pt>
                <c:pt idx="82">
                  <c:v>0.42321230119999698</c:v>
                </c:pt>
                <c:pt idx="83">
                  <c:v>0.45162719273749602</c:v>
                </c:pt>
                <c:pt idx="84">
                  <c:v>0.48126786659999599</c:v>
                </c:pt>
                <c:pt idx="85">
                  <c:v>0.51215991406249595</c:v>
                </c:pt>
                <c:pt idx="86">
                  <c:v>0.54432892639999497</c:v>
                </c:pt>
                <c:pt idx="87">
                  <c:v>0.57780049488749496</c:v>
                </c:pt>
                <c:pt idx="88">
                  <c:v>0.61260021079999505</c:v>
                </c:pt>
                <c:pt idx="89">
                  <c:v>0.64875366541249402</c:v>
                </c:pt>
                <c:pt idx="90">
                  <c:v>0.686286449999994</c:v>
                </c:pt>
                <c:pt idx="91">
                  <c:v>0.725224155837494</c:v>
                </c:pt>
                <c:pt idx="92">
                  <c:v>0.76559237419999304</c:v>
                </c:pt>
                <c:pt idx="93">
                  <c:v>0.80741669636249302</c:v>
                </c:pt>
                <c:pt idx="94">
                  <c:v>0.85072271359999296</c:v>
                </c:pt>
                <c:pt idx="95">
                  <c:v>0.89553601718749198</c:v>
                </c:pt>
                <c:pt idx="96">
                  <c:v>0.94188219839999099</c:v>
                </c:pt>
                <c:pt idx="97">
                  <c:v>0.98978684851249099</c:v>
                </c:pt>
                <c:pt idx="98">
                  <c:v>1.03927555879999</c:v>
                </c:pt>
                <c:pt idx="99">
                  <c:v>1.09037392053749</c:v>
                </c:pt>
                <c:pt idx="100">
                  <c:v>1.14310752499999</c:v>
                </c:pt>
                <c:pt idx="101">
                  <c:v>1.1975019634624899</c:v>
                </c:pt>
                <c:pt idx="102">
                  <c:v>1.25358282719999</c:v>
                </c:pt>
                <c:pt idx="103">
                  <c:v>1.3113757074874901</c:v>
                </c:pt>
                <c:pt idx="104">
                  <c:v>1.3709061955999899</c:v>
                </c:pt>
                <c:pt idx="105">
                  <c:v>1.43219988281249</c:v>
                </c:pt>
                <c:pt idx="106">
                  <c:v>1.4952823603999901</c:v>
                </c:pt>
                <c:pt idx="107">
                  <c:v>1.56017921963749</c:v>
                </c:pt>
                <c:pt idx="108">
                  <c:v>1.6269160517999901</c:v>
                </c:pt>
                <c:pt idx="109">
                  <c:v>1.6955184481624801</c:v>
                </c:pt>
                <c:pt idx="110">
                  <c:v>1.7660119999999799</c:v>
                </c:pt>
                <c:pt idx="111">
                  <c:v>1.8114412522499901</c:v>
                </c:pt>
                <c:pt idx="112">
                  <c:v>1.8564442889999899</c:v>
                </c:pt>
                <c:pt idx="113">
                  <c:v>1.856568</c:v>
                </c:pt>
                <c:pt idx="114">
                  <c:v>1.856568</c:v>
                </c:pt>
                <c:pt idx="115">
                  <c:v>1.856568</c:v>
                </c:pt>
                <c:pt idx="116">
                  <c:v>1.856568</c:v>
                </c:pt>
                <c:pt idx="117">
                  <c:v>1.856568</c:v>
                </c:pt>
                <c:pt idx="118">
                  <c:v>1.856568</c:v>
                </c:pt>
                <c:pt idx="119">
                  <c:v>1.856568</c:v>
                </c:pt>
                <c:pt idx="120">
                  <c:v>1.856568</c:v>
                </c:pt>
                <c:pt idx="121">
                  <c:v>1.856568</c:v>
                </c:pt>
                <c:pt idx="122">
                  <c:v>1.856568</c:v>
                </c:pt>
                <c:pt idx="123">
                  <c:v>1.856568</c:v>
                </c:pt>
                <c:pt idx="124">
                  <c:v>1.856568</c:v>
                </c:pt>
                <c:pt idx="125">
                  <c:v>1.856568</c:v>
                </c:pt>
                <c:pt idx="126">
                  <c:v>1.856568</c:v>
                </c:pt>
                <c:pt idx="127">
                  <c:v>1.856568</c:v>
                </c:pt>
                <c:pt idx="128">
                  <c:v>1.856568</c:v>
                </c:pt>
                <c:pt idx="129">
                  <c:v>1.856568</c:v>
                </c:pt>
                <c:pt idx="130">
                  <c:v>1.856568</c:v>
                </c:pt>
                <c:pt idx="131">
                  <c:v>1.856568</c:v>
                </c:pt>
                <c:pt idx="132">
                  <c:v>1.856568</c:v>
                </c:pt>
                <c:pt idx="133">
                  <c:v>1.856568</c:v>
                </c:pt>
                <c:pt idx="134">
                  <c:v>1.856568</c:v>
                </c:pt>
                <c:pt idx="135">
                  <c:v>1.856568</c:v>
                </c:pt>
                <c:pt idx="136">
                  <c:v>1.856568</c:v>
                </c:pt>
                <c:pt idx="137">
                  <c:v>1.856568</c:v>
                </c:pt>
                <c:pt idx="138">
                  <c:v>1.856568</c:v>
                </c:pt>
                <c:pt idx="139">
                  <c:v>1.856568</c:v>
                </c:pt>
                <c:pt idx="140">
                  <c:v>1.856568</c:v>
                </c:pt>
              </c:numCache>
            </c:numRef>
          </c:yVal>
          <c:smooth val="0"/>
          <c:extLst>
            <c:ext xmlns:c16="http://schemas.microsoft.com/office/drawing/2014/chart" uri="{C3380CC4-5D6E-409C-BE32-E72D297353CC}">
              <c16:uniqueId val="{00000000-7432-4B6C-AE9C-AE5B6FE0F168}"/>
            </c:ext>
          </c:extLst>
        </c:ser>
        <c:dLbls>
          <c:showLegendKey val="0"/>
          <c:showVal val="0"/>
          <c:showCatName val="0"/>
          <c:showSerName val="0"/>
          <c:showPercent val="0"/>
          <c:showBubbleSize val="0"/>
        </c:dLbls>
        <c:axId val="141161216"/>
        <c:axId val="141163136"/>
      </c:scatterChart>
      <c:valAx>
        <c:axId val="141161216"/>
        <c:scaling>
          <c:orientation val="minMax"/>
          <c:max val="7"/>
        </c:scaling>
        <c:delete val="0"/>
        <c:axPos val="b"/>
        <c:majorGridlines>
          <c:spPr>
            <a:ln w="3175" cap="flat" cmpd="sng" algn="ctr">
              <a:solidFill>
                <a:srgbClr val="000000"/>
              </a:solidFill>
              <a:prstDash val="solid"/>
              <a:round/>
            </a:ln>
          </c:spPr>
        </c:majorGridlines>
        <c:title>
          <c:tx>
            <c:rich>
              <a:bodyPr rot="0" spcFirstLastPara="0" vertOverflow="ellipsis" vert="horz" wrap="square" anchor="ctr" anchorCtr="1"/>
              <a:lstStyle/>
              <a:p>
                <a:pPr>
                  <a:defRPr lang="zh-CN" sz="925" b="1" i="0" u="none" strike="noStrike" kern="1200" baseline="0">
                    <a:solidFill>
                      <a:srgbClr val="000000"/>
                    </a:solidFill>
                    <a:latin typeface="Arial" panose="020B0604020202020204"/>
                    <a:ea typeface="Arial" panose="020B0604020202020204"/>
                    <a:cs typeface="Arial" panose="020B0604020202020204"/>
                  </a:defRPr>
                </a:pPr>
                <a:r>
                  <a:rPr lang="en-US"/>
                  <a:t>VCOMP</a:t>
                </a:r>
              </a:p>
            </c:rich>
          </c:tx>
          <c:layout>
            <c:manualLayout>
              <c:xMode val="edge"/>
              <c:yMode val="edge"/>
              <c:x val="0.412467110610022"/>
              <c:y val="0.88043571717446201"/>
            </c:manualLayout>
          </c:layout>
          <c:overlay val="0"/>
          <c:spPr>
            <a:noFill/>
            <a:ln w="25400">
              <a:noFill/>
            </a:ln>
          </c:spPr>
        </c:title>
        <c:numFmt formatCode="General" sourceLinked="1"/>
        <c:majorTickMark val="out"/>
        <c:minorTickMark val="in"/>
        <c:tickLblPos val="nextTo"/>
        <c:spPr>
          <a:ln w="3175" cap="flat" cmpd="sng" algn="ctr">
            <a:solidFill>
              <a:srgbClr val="000000"/>
            </a:solidFill>
            <a:prstDash val="solid"/>
            <a:round/>
          </a:ln>
        </c:spPr>
        <c:txPr>
          <a:bodyPr rot="0" spcFirstLastPara="0" vertOverflow="ellipsis" vert="horz" wrap="square" anchor="ctr" anchorCtr="1"/>
          <a:lstStyle/>
          <a:p>
            <a:pPr>
              <a:defRPr lang="zh-CN" sz="925" b="0" i="0" u="none" strike="noStrike" kern="1200" baseline="0">
                <a:solidFill>
                  <a:srgbClr val="000000"/>
                </a:solidFill>
                <a:latin typeface="Arial" panose="020B0604020202020204"/>
                <a:ea typeface="Arial" panose="020B0604020202020204"/>
                <a:cs typeface="Arial" panose="020B0604020202020204"/>
              </a:defRPr>
            </a:pPr>
            <a:endParaRPr lang="zh-CN"/>
          </a:p>
        </c:txPr>
        <c:crossAx val="141163136"/>
        <c:crosses val="autoZero"/>
        <c:crossBetween val="midCat"/>
        <c:minorUnit val="0.1"/>
      </c:valAx>
      <c:valAx>
        <c:axId val="141163136"/>
        <c:scaling>
          <c:orientation val="minMax"/>
        </c:scaling>
        <c:delete val="0"/>
        <c:axPos val="l"/>
        <c:majorGridlines>
          <c:spPr>
            <a:ln w="3175" cap="flat" cmpd="sng" algn="ctr">
              <a:solidFill>
                <a:srgbClr val="000000"/>
              </a:solidFill>
              <a:prstDash val="solid"/>
              <a:round/>
            </a:ln>
          </c:spPr>
        </c:majorGridlines>
        <c:minorGridlines>
          <c:spPr>
            <a:ln w="3175" cap="flat" cmpd="sng" algn="ctr">
              <a:solidFill>
                <a:srgbClr val="000000"/>
              </a:solidFill>
              <a:prstDash val="solid"/>
              <a:round/>
            </a:ln>
          </c:spPr>
        </c:minorGridlines>
        <c:title>
          <c:tx>
            <c:rich>
              <a:bodyPr rot="-5400000" spcFirstLastPara="0" vertOverflow="ellipsis" vert="horz" wrap="square" anchor="ctr" anchorCtr="1"/>
              <a:lstStyle/>
              <a:p>
                <a:pPr>
                  <a:defRPr lang="zh-CN" sz="925" b="1" i="0" u="none" strike="noStrike" kern="1200" baseline="0">
                    <a:solidFill>
                      <a:srgbClr val="000000"/>
                    </a:solidFill>
                    <a:latin typeface="Arial" panose="020B0604020202020204"/>
                    <a:ea typeface="Arial" panose="020B0604020202020204"/>
                    <a:cs typeface="Arial" panose="020B0604020202020204"/>
                  </a:defRPr>
                </a:pPr>
                <a:r>
                  <a:rPr lang="en-US"/>
                  <a:t>M1M2</a:t>
                </a:r>
              </a:p>
            </c:rich>
          </c:tx>
          <c:layout>
            <c:manualLayout>
              <c:xMode val="edge"/>
              <c:yMode val="edge"/>
              <c:x val="2.7851476922220099E-2"/>
              <c:y val="0.43695698556065898"/>
            </c:manualLayout>
          </c:layout>
          <c:overlay val="0"/>
          <c:spPr>
            <a:noFill/>
            <a:ln w="25400">
              <a:noFill/>
            </a:ln>
          </c:spPr>
        </c:title>
        <c:numFmt formatCode="0.000" sourceLinked="1"/>
        <c:majorTickMark val="out"/>
        <c:minorTickMark val="in"/>
        <c:tickLblPos val="nextTo"/>
        <c:spPr>
          <a:ln w="3175" cap="flat" cmpd="sng" algn="ctr">
            <a:solidFill>
              <a:srgbClr val="000000"/>
            </a:solidFill>
            <a:prstDash val="solid"/>
            <a:round/>
          </a:ln>
        </c:spPr>
        <c:txPr>
          <a:bodyPr rot="0" spcFirstLastPara="0" vertOverflow="ellipsis" vert="horz" wrap="square" anchor="ctr" anchorCtr="1"/>
          <a:lstStyle/>
          <a:p>
            <a:pPr>
              <a:defRPr lang="zh-CN" sz="925" b="0" i="0" u="none" strike="noStrike" kern="1200" baseline="0">
                <a:solidFill>
                  <a:srgbClr val="000000"/>
                </a:solidFill>
                <a:latin typeface="Arial" panose="020B0604020202020204"/>
                <a:ea typeface="Arial" panose="020B0604020202020204"/>
                <a:cs typeface="Arial" panose="020B0604020202020204"/>
              </a:defRPr>
            </a:pPr>
            <a:endParaRPr lang="zh-CN"/>
          </a:p>
        </c:txPr>
        <c:crossAx val="141161216"/>
        <c:crosses val="autoZero"/>
        <c:crossBetween val="midCat"/>
      </c:valAx>
      <c:spPr>
        <a:noFill/>
        <a:ln w="12700">
          <a:solidFill>
            <a:srgbClr val="808080"/>
          </a:solidFill>
          <a:prstDash val="solid"/>
        </a:ln>
      </c:spPr>
    </c:plotArea>
    <c:plotVisOnly val="1"/>
    <c:dispBlanksAs val="gap"/>
    <c:showDLblsOverMax val="0"/>
    <c:extLst>
      <c:ext uri="{0b15fc19-7d7d-44ad-8c2d-2c3a37ce22c3}">
        <chartProps xmlns="https://web.wps.cn/et/2018/main" chartId="{f061887a-8ee4-4b8c-8c83-622fbcc5bed6}"/>
      </c:ext>
    </c:extLst>
  </c:chart>
  <c:spPr>
    <a:gradFill rotWithShape="0">
      <a:gsLst>
        <a:gs pos="0">
          <a:srgbClr val="FFFFFF"/>
        </a:gs>
        <a:gs pos="100000">
          <a:srgbClr val="FFFFCC"/>
        </a:gs>
      </a:gsLst>
      <a:lin ang="5400000" scaled="1"/>
    </a:gradFill>
    <a:ln w="3175" cap="flat" cmpd="sng" algn="ctr">
      <a:solidFill>
        <a:srgbClr val="000000"/>
      </a:solidFill>
      <a:prstDash val="solid"/>
      <a:round/>
    </a:ln>
  </c:spPr>
  <c:txPr>
    <a:bodyPr/>
    <a:lstStyle/>
    <a:p>
      <a:pPr>
        <a:defRPr lang="zh-CN" sz="925" b="0" i="0" u="none" strike="noStrike" baseline="0">
          <a:solidFill>
            <a:srgbClr val="000000"/>
          </a:solidFill>
          <a:latin typeface="Arial" panose="020B0604020202020204"/>
          <a:ea typeface="Arial" panose="020B0604020202020204"/>
          <a:cs typeface="Arial" panose="020B0604020202020204"/>
        </a:defRPr>
      </a:pPr>
      <a:endParaRPr lang="zh-CN"/>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150" b="1" i="0" u="none" strike="noStrike" kern="1200" baseline="0">
                <a:solidFill>
                  <a:srgbClr val="000000"/>
                </a:solidFill>
                <a:latin typeface="Arial" panose="020B0604020202020204"/>
                <a:ea typeface="Arial" panose="020B0604020202020204"/>
                <a:cs typeface="Arial" panose="020B0604020202020204"/>
              </a:defRPr>
            </a:pPr>
            <a:r>
              <a:rPr lang="en-US"/>
              <a:t>Current Averaging Bode Plot</a:t>
            </a:r>
          </a:p>
        </c:rich>
      </c:tx>
      <c:layout>
        <c:manualLayout>
          <c:xMode val="edge"/>
          <c:yMode val="edge"/>
          <c:x val="0.36291390728476802"/>
          <c:y val="2.8790786948176599E-2"/>
        </c:manualLayout>
      </c:layout>
      <c:overlay val="0"/>
      <c:spPr>
        <a:noFill/>
        <a:ln w="25400">
          <a:noFill/>
        </a:ln>
      </c:spPr>
    </c:title>
    <c:autoTitleDeleted val="0"/>
    <c:plotArea>
      <c:layout>
        <c:manualLayout>
          <c:layoutTarget val="inner"/>
          <c:xMode val="edge"/>
          <c:yMode val="edge"/>
          <c:x val="0.107284768211921"/>
          <c:y val="0.143953934740883"/>
          <c:w val="0.78807947019867597"/>
          <c:h val="0.66410748560460697"/>
        </c:manualLayout>
      </c:layout>
      <c:scatterChart>
        <c:scatterStyle val="smoothMarker"/>
        <c:varyColors val="0"/>
        <c:ser>
          <c:idx val="0"/>
          <c:order val="0"/>
          <c:tx>
            <c:v>Gain</c:v>
          </c:tx>
          <c:spPr>
            <a:ln w="38100" cap="rnd" cmpd="sng" algn="ctr">
              <a:solidFill>
                <a:srgbClr val="FF0000"/>
              </a:solidFill>
              <a:prstDash val="solid"/>
              <a:round/>
            </a:ln>
          </c:spPr>
          <c:marker>
            <c:symbol val="none"/>
          </c:marker>
          <c:xVal>
            <c:numRef>
              <c:f>data!$B$205:$B$255</c:f>
              <c:numCache>
                <c:formatCode>General</c:formatCode>
                <c:ptCount val="51"/>
                <c:pt idx="0">
                  <c:v>10</c:v>
                </c:pt>
                <c:pt idx="1">
                  <c:v>12.589254117941699</c:v>
                </c:pt>
                <c:pt idx="2">
                  <c:v>15.848931924611099</c:v>
                </c:pt>
                <c:pt idx="3">
                  <c:v>19.952623149688801</c:v>
                </c:pt>
                <c:pt idx="4">
                  <c:v>25.118864315095799</c:v>
                </c:pt>
                <c:pt idx="5">
                  <c:v>31.6227766016838</c:v>
                </c:pt>
                <c:pt idx="6">
                  <c:v>39.810717055349699</c:v>
                </c:pt>
                <c:pt idx="7">
                  <c:v>50.118723362727202</c:v>
                </c:pt>
                <c:pt idx="8">
                  <c:v>63.0957344480193</c:v>
                </c:pt>
                <c:pt idx="9">
                  <c:v>79.432823472428097</c:v>
                </c:pt>
                <c:pt idx="10">
                  <c:v>100</c:v>
                </c:pt>
                <c:pt idx="11">
                  <c:v>125.89254117941699</c:v>
                </c:pt>
                <c:pt idx="12">
                  <c:v>158.48931924611099</c:v>
                </c:pt>
                <c:pt idx="13">
                  <c:v>199.52623149688799</c:v>
                </c:pt>
                <c:pt idx="14">
                  <c:v>251.188643150958</c:v>
                </c:pt>
                <c:pt idx="15">
                  <c:v>316.22776601683802</c:v>
                </c:pt>
                <c:pt idx="16">
                  <c:v>398.10717055349699</c:v>
                </c:pt>
                <c:pt idx="17">
                  <c:v>501.18723362727201</c:v>
                </c:pt>
                <c:pt idx="18">
                  <c:v>630.957344480193</c:v>
                </c:pt>
                <c:pt idx="19">
                  <c:v>794.32823472428095</c:v>
                </c:pt>
                <c:pt idx="20">
                  <c:v>1000</c:v>
                </c:pt>
                <c:pt idx="21">
                  <c:v>1258.92541179417</c:v>
                </c:pt>
                <c:pt idx="22">
                  <c:v>1584.8931924611099</c:v>
                </c:pt>
                <c:pt idx="23">
                  <c:v>1995.26231496888</c:v>
                </c:pt>
                <c:pt idx="24">
                  <c:v>2511.8864315095798</c:v>
                </c:pt>
                <c:pt idx="25">
                  <c:v>3162.27766016838</c:v>
                </c:pt>
                <c:pt idx="26">
                  <c:v>3981.0717055349701</c:v>
                </c:pt>
                <c:pt idx="27">
                  <c:v>5011.8723362727296</c:v>
                </c:pt>
                <c:pt idx="28">
                  <c:v>6309.5734448019302</c:v>
                </c:pt>
                <c:pt idx="29">
                  <c:v>7943.2823472428099</c:v>
                </c:pt>
                <c:pt idx="30">
                  <c:v>10000</c:v>
                </c:pt>
                <c:pt idx="31">
                  <c:v>12589.2541179417</c:v>
                </c:pt>
                <c:pt idx="32">
                  <c:v>15848.931924611101</c:v>
                </c:pt>
                <c:pt idx="33">
                  <c:v>19952.623149688799</c:v>
                </c:pt>
                <c:pt idx="34">
                  <c:v>25118.864315095801</c:v>
                </c:pt>
                <c:pt idx="35">
                  <c:v>31622.7766016838</c:v>
                </c:pt>
                <c:pt idx="36">
                  <c:v>39810.717055349698</c:v>
                </c:pt>
                <c:pt idx="37">
                  <c:v>50118.723362727302</c:v>
                </c:pt>
                <c:pt idx="38">
                  <c:v>63095.734448019299</c:v>
                </c:pt>
                <c:pt idx="39">
                  <c:v>79432.823472428194</c:v>
                </c:pt>
                <c:pt idx="40">
                  <c:v>100000</c:v>
                </c:pt>
                <c:pt idx="41">
                  <c:v>125892.54117941701</c:v>
                </c:pt>
                <c:pt idx="42">
                  <c:v>158489.319246111</c:v>
                </c:pt>
                <c:pt idx="43">
                  <c:v>199526.23149688801</c:v>
                </c:pt>
                <c:pt idx="44">
                  <c:v>251188.643150958</c:v>
                </c:pt>
                <c:pt idx="45">
                  <c:v>316227.76601683802</c:v>
                </c:pt>
                <c:pt idx="46">
                  <c:v>398107.17055349698</c:v>
                </c:pt>
                <c:pt idx="47">
                  <c:v>501187.23362727201</c:v>
                </c:pt>
                <c:pt idx="48">
                  <c:v>630957.34448019299</c:v>
                </c:pt>
                <c:pt idx="49">
                  <c:v>794328.23472428205</c:v>
                </c:pt>
                <c:pt idx="50">
                  <c:v>1000000</c:v>
                </c:pt>
              </c:numCache>
            </c:numRef>
          </c:xVal>
          <c:yVal>
            <c:numRef>
              <c:f>data!$E$205:$E$255</c:f>
              <c:numCache>
                <c:formatCode>General</c:formatCode>
                <c:ptCount val="51"/>
                <c:pt idx="0">
                  <c:v>52.992200011721984</c:v>
                </c:pt>
                <c:pt idx="1">
                  <c:v>50.99219610351588</c:v>
                </c:pt>
                <c:pt idx="2">
                  <c:v>48.992189909433804</c:v>
                </c:pt>
                <c:pt idx="3">
                  <c:v>46.992180092493356</c:v>
                </c:pt>
                <c:pt idx="4">
                  <c:v>44.992164533736741</c:v>
                </c:pt>
                <c:pt idx="5">
                  <c:v>42.992139874883549</c:v>
                </c:pt>
                <c:pt idx="6">
                  <c:v>40.992100793521715</c:v>
                </c:pt>
                <c:pt idx="7">
                  <c:v>38.992038854457768</c:v>
                </c:pt>
                <c:pt idx="8">
                  <c:v>36.991940689466453</c:v>
                </c:pt>
                <c:pt idx="9">
                  <c:v>34.991785112984921</c:v>
                </c:pt>
                <c:pt idx="10">
                  <c:v>32.991538552293889</c:v>
                </c:pt>
                <c:pt idx="11">
                  <c:v>30.991147808604119</c:v>
                </c:pt>
                <c:pt idx="12">
                  <c:v>28.990528593594377</c:v>
                </c:pt>
                <c:pt idx="13">
                  <c:v>26.989547384751944</c:v>
                </c:pt>
                <c:pt idx="14">
                  <c:v>24.987992727494266</c:v>
                </c:pt>
                <c:pt idx="15">
                  <c:v>22.985529901204199</c:v>
                </c:pt>
                <c:pt idx="16">
                  <c:v>20.981629443184854</c:v>
                </c:pt>
                <c:pt idx="17">
                  <c:v>18.975454800498689</c:v>
                </c:pt>
                <c:pt idx="18">
                  <c:v>16.965686598458763</c:v>
                </c:pt>
                <c:pt idx="19">
                  <c:v>14.950249905999225</c:v>
                </c:pt>
                <c:pt idx="20">
                  <c:v>12.925896237314063</c:v>
                </c:pt>
                <c:pt idx="21">
                  <c:v>10.887575853435836</c:v>
                </c:pt>
                <c:pt idx="22">
                  <c:v>8.8275263657285521</c:v>
                </c:pt>
                <c:pt idx="23">
                  <c:v>6.7340231082662658</c:v>
                </c:pt>
                <c:pt idx="24">
                  <c:v>4.5898346177313591</c:v>
                </c:pt>
                <c:pt idx="25">
                  <c:v>2.370686553734854</c:v>
                </c:pt>
                <c:pt idx="26">
                  <c:v>4.4537004840277075E-2</c:v>
                </c:pt>
                <c:pt idx="27">
                  <c:v>-2.4269027012034137</c:v>
                </c:pt>
                <c:pt idx="28">
                  <c:v>-5.0828336661961027</c:v>
                </c:pt>
                <c:pt idx="29">
                  <c:v>-7.9541581509068564</c:v>
                </c:pt>
                <c:pt idx="30">
                  <c:v>-11.053685871759189</c:v>
                </c:pt>
                <c:pt idx="31">
                  <c:v>-14.37144591327959</c:v>
                </c:pt>
                <c:pt idx="32">
                  <c:v>-17.878367120915641</c:v>
                </c:pt>
                <c:pt idx="33">
                  <c:v>-21.5357395952331</c:v>
                </c:pt>
                <c:pt idx="34">
                  <c:v>-25.304765228603703</c:v>
                </c:pt>
                <c:pt idx="35">
                  <c:v>-29.152445051812471</c:v>
                </c:pt>
                <c:pt idx="36">
                  <c:v>-33.053513944807463</c:v>
                </c:pt>
                <c:pt idx="37">
                  <c:v>-36.989912791514428</c:v>
                </c:pt>
                <c:pt idx="38">
                  <c:v>-40.949298577066784</c:v>
                </c:pt>
                <c:pt idx="39">
                  <c:v>-44.923475924991926</c:v>
                </c:pt>
                <c:pt idx="40">
                  <c:v>-48.907103576645419</c:v>
                </c:pt>
                <c:pt idx="41">
                  <c:v>-52.896741474883207</c:v>
                </c:pt>
                <c:pt idx="42">
                  <c:v>-56.890190686663715</c:v>
                </c:pt>
                <c:pt idx="43">
                  <c:v>-60.886052328819893</c:v>
                </c:pt>
                <c:pt idx="44">
                  <c:v>-64.883439171074599</c:v>
                </c:pt>
                <c:pt idx="45">
                  <c:v>-68.881789570615055</c:v>
                </c:pt>
                <c:pt idx="46">
                  <c:v>-72.880748420604135</c:v>
                </c:pt>
                <c:pt idx="47">
                  <c:v>-76.880091370908318</c:v>
                </c:pt>
                <c:pt idx="48">
                  <c:v>-80.879676749423638</c:v>
                </c:pt>
                <c:pt idx="49">
                  <c:v>-84.879415120584056</c:v>
                </c:pt>
                <c:pt idx="50">
                  <c:v>-88.879250035836193</c:v>
                </c:pt>
              </c:numCache>
            </c:numRef>
          </c:yVal>
          <c:smooth val="1"/>
          <c:extLst>
            <c:ext xmlns:c16="http://schemas.microsoft.com/office/drawing/2014/chart" uri="{C3380CC4-5D6E-409C-BE32-E72D297353CC}">
              <c16:uniqueId val="{00000000-E788-4643-8550-AD4FEEA27AFA}"/>
            </c:ext>
          </c:extLst>
        </c:ser>
        <c:dLbls>
          <c:showLegendKey val="0"/>
          <c:showVal val="0"/>
          <c:showCatName val="0"/>
          <c:showSerName val="0"/>
          <c:showPercent val="0"/>
          <c:showBubbleSize val="0"/>
        </c:dLbls>
        <c:axId val="141275904"/>
        <c:axId val="141277824"/>
      </c:scatterChart>
      <c:scatterChart>
        <c:scatterStyle val="lineMarker"/>
        <c:varyColors val="0"/>
        <c:ser>
          <c:idx val="1"/>
          <c:order val="1"/>
          <c:tx>
            <c:v>Phase</c:v>
          </c:tx>
          <c:spPr>
            <a:ln w="38100" cap="rnd" cmpd="sng" algn="ctr">
              <a:solidFill>
                <a:srgbClr val="0000FF"/>
              </a:solidFill>
              <a:prstDash val="solid"/>
              <a:round/>
            </a:ln>
          </c:spPr>
          <c:marker>
            <c:symbol val="none"/>
          </c:marker>
          <c:xVal>
            <c:numRef>
              <c:f>data!$B$205:$B$255</c:f>
              <c:numCache>
                <c:formatCode>General</c:formatCode>
                <c:ptCount val="51"/>
                <c:pt idx="0">
                  <c:v>10</c:v>
                </c:pt>
                <c:pt idx="1">
                  <c:v>12.589254117941699</c:v>
                </c:pt>
                <c:pt idx="2">
                  <c:v>15.848931924611099</c:v>
                </c:pt>
                <c:pt idx="3">
                  <c:v>19.952623149688801</c:v>
                </c:pt>
                <c:pt idx="4">
                  <c:v>25.118864315095799</c:v>
                </c:pt>
                <c:pt idx="5">
                  <c:v>31.6227766016838</c:v>
                </c:pt>
                <c:pt idx="6">
                  <c:v>39.810717055349699</c:v>
                </c:pt>
                <c:pt idx="7">
                  <c:v>50.118723362727202</c:v>
                </c:pt>
                <c:pt idx="8">
                  <c:v>63.0957344480193</c:v>
                </c:pt>
                <c:pt idx="9">
                  <c:v>79.432823472428097</c:v>
                </c:pt>
                <c:pt idx="10">
                  <c:v>100</c:v>
                </c:pt>
                <c:pt idx="11">
                  <c:v>125.89254117941699</c:v>
                </c:pt>
                <c:pt idx="12">
                  <c:v>158.48931924611099</c:v>
                </c:pt>
                <c:pt idx="13">
                  <c:v>199.52623149688799</c:v>
                </c:pt>
                <c:pt idx="14">
                  <c:v>251.188643150958</c:v>
                </c:pt>
                <c:pt idx="15">
                  <c:v>316.22776601683802</c:v>
                </c:pt>
                <c:pt idx="16">
                  <c:v>398.10717055349699</c:v>
                </c:pt>
                <c:pt idx="17">
                  <c:v>501.18723362727201</c:v>
                </c:pt>
                <c:pt idx="18">
                  <c:v>630.957344480193</c:v>
                </c:pt>
                <c:pt idx="19">
                  <c:v>794.32823472428095</c:v>
                </c:pt>
                <c:pt idx="20">
                  <c:v>1000</c:v>
                </c:pt>
                <c:pt idx="21">
                  <c:v>1258.92541179417</c:v>
                </c:pt>
                <c:pt idx="22">
                  <c:v>1584.8931924611099</c:v>
                </c:pt>
                <c:pt idx="23">
                  <c:v>1995.26231496888</c:v>
                </c:pt>
                <c:pt idx="24">
                  <c:v>2511.8864315095798</c:v>
                </c:pt>
                <c:pt idx="25">
                  <c:v>3162.27766016838</c:v>
                </c:pt>
                <c:pt idx="26">
                  <c:v>3981.0717055349701</c:v>
                </c:pt>
                <c:pt idx="27">
                  <c:v>5011.8723362727296</c:v>
                </c:pt>
                <c:pt idx="28">
                  <c:v>6309.5734448019302</c:v>
                </c:pt>
                <c:pt idx="29">
                  <c:v>7943.2823472428099</c:v>
                </c:pt>
                <c:pt idx="30">
                  <c:v>10000</c:v>
                </c:pt>
                <c:pt idx="31">
                  <c:v>12589.2541179417</c:v>
                </c:pt>
                <c:pt idx="32">
                  <c:v>15848.931924611101</c:v>
                </c:pt>
                <c:pt idx="33">
                  <c:v>19952.623149688799</c:v>
                </c:pt>
                <c:pt idx="34">
                  <c:v>25118.864315095801</c:v>
                </c:pt>
                <c:pt idx="35">
                  <c:v>31622.7766016838</c:v>
                </c:pt>
                <c:pt idx="36">
                  <c:v>39810.717055349698</c:v>
                </c:pt>
                <c:pt idx="37">
                  <c:v>50118.723362727302</c:v>
                </c:pt>
                <c:pt idx="38">
                  <c:v>63095.734448019299</c:v>
                </c:pt>
                <c:pt idx="39">
                  <c:v>79432.823472428194</c:v>
                </c:pt>
                <c:pt idx="40">
                  <c:v>100000</c:v>
                </c:pt>
                <c:pt idx="41">
                  <c:v>125892.54117941701</c:v>
                </c:pt>
                <c:pt idx="42">
                  <c:v>158489.319246111</c:v>
                </c:pt>
                <c:pt idx="43">
                  <c:v>199526.23149688801</c:v>
                </c:pt>
                <c:pt idx="44">
                  <c:v>251188.643150958</c:v>
                </c:pt>
                <c:pt idx="45">
                  <c:v>316227.76601683802</c:v>
                </c:pt>
                <c:pt idx="46">
                  <c:v>398107.17055349698</c:v>
                </c:pt>
                <c:pt idx="47">
                  <c:v>501187.23362727201</c:v>
                </c:pt>
                <c:pt idx="48">
                  <c:v>630957.34448019299</c:v>
                </c:pt>
                <c:pt idx="49">
                  <c:v>794328.23472428205</c:v>
                </c:pt>
                <c:pt idx="50">
                  <c:v>1000000</c:v>
                </c:pt>
              </c:numCache>
            </c:numRef>
          </c:xVal>
          <c:yVal>
            <c:numRef>
              <c:f>data!$F$205:$F$255</c:f>
              <c:numCache>
                <c:formatCode>General</c:formatCode>
                <c:ptCount val="51"/>
                <c:pt idx="0">
                  <c:v>-90.071069151932491</c:v>
                </c:pt>
                <c:pt idx="1">
                  <c:v>-90.089470734524298</c:v>
                </c:pt>
                <c:pt idx="2">
                  <c:v>-90.112636927755389</c:v>
                </c:pt>
                <c:pt idx="3">
                  <c:v>-90.141801383813345</c:v>
                </c:pt>
                <c:pt idx="4">
                  <c:v>-90.178517152328467</c:v>
                </c:pt>
                <c:pt idx="5">
                  <c:v>-90.224739354156327</c:v>
                </c:pt>
                <c:pt idx="6">
                  <c:v>-90.282929235298013</c:v>
                </c:pt>
                <c:pt idx="7">
                  <c:v>-90.356185110741421</c:v>
                </c:pt>
                <c:pt idx="8">
                  <c:v>-90.448407108682744</c:v>
                </c:pt>
                <c:pt idx="9">
                  <c:v>-90.564504363127853</c:v>
                </c:pt>
                <c:pt idx="10">
                  <c:v>-90.710655438849443</c:v>
                </c:pt>
                <c:pt idx="11">
                  <c:v>-90.894635359155046</c:v>
                </c:pt>
                <c:pt idx="12">
                  <c:v>-91.126225658835793</c:v>
                </c:pt>
                <c:pt idx="13">
                  <c:v>-91.417727320352142</c:v>
                </c:pt>
                <c:pt idx="14">
                  <c:v>-91.784599969172064</c:v>
                </c:pt>
                <c:pt idx="15">
                  <c:v>-92.246253533104891</c:v>
                </c:pt>
                <c:pt idx="16">
                  <c:v>-92.827018975138856</c:v>
                </c:pt>
                <c:pt idx="17">
                  <c:v>-93.557319030929634</c:v>
                </c:pt>
                <c:pt idx="18">
                  <c:v>-94.475040733260528</c:v>
                </c:pt>
                <c:pt idx="19">
                  <c:v>-95.627064529806432</c:v>
                </c:pt>
                <c:pt idx="20">
                  <c:v>-97.070803331240668</c:v>
                </c:pt>
                <c:pt idx="21">
                  <c:v>-98.875402583398198</c:v>
                </c:pt>
                <c:pt idx="22">
                  <c:v>-101.12187842232613</c:v>
                </c:pt>
                <c:pt idx="23">
                  <c:v>-103.9008437312644</c:v>
                </c:pt>
                <c:pt idx="24">
                  <c:v>-107.30558312214407</c:v>
                </c:pt>
                <c:pt idx="25">
                  <c:v>-111.41740476190009</c:v>
                </c:pt>
                <c:pt idx="26">
                  <c:v>-116.28055995391445</c:v>
                </c:pt>
                <c:pt idx="27">
                  <c:v>-121.86790676587628</c:v>
                </c:pt>
                <c:pt idx="28">
                  <c:v>-128.04794244340522</c:v>
                </c:pt>
                <c:pt idx="29">
                  <c:v>-134.57512189142923</c:v>
                </c:pt>
                <c:pt idx="30">
                  <c:v>-141.12433769994885</c:v>
                </c:pt>
                <c:pt idx="31">
                  <c:v>-147.36510308756266</c:v>
                </c:pt>
                <c:pt idx="32">
                  <c:v>-153.03865037528001</c:v>
                </c:pt>
                <c:pt idx="33">
                  <c:v>-157.99854646815092</c:v>
                </c:pt>
                <c:pt idx="34">
                  <c:v>-162.20581742345323</c:v>
                </c:pt>
                <c:pt idx="35">
                  <c:v>-165.69757198955895</c:v>
                </c:pt>
                <c:pt idx="36">
                  <c:v>-168.55198672634296</c:v>
                </c:pt>
                <c:pt idx="37">
                  <c:v>-170.86182551735797</c:v>
                </c:pt>
                <c:pt idx="38">
                  <c:v>-172.71856430296651</c:v>
                </c:pt>
                <c:pt idx="39">
                  <c:v>-174.20465505769312</c:v>
                </c:pt>
                <c:pt idx="40">
                  <c:v>-175.39079903726798</c:v>
                </c:pt>
                <c:pt idx="41">
                  <c:v>-176.33586648126163</c:v>
                </c:pt>
                <c:pt idx="42">
                  <c:v>-177.08801088335778</c:v>
                </c:pt>
                <c:pt idx="43">
                  <c:v>-177.68618979852479</c:v>
                </c:pt>
                <c:pt idx="44">
                  <c:v>-178.16170649725106</c:v>
                </c:pt>
                <c:pt idx="45">
                  <c:v>-178.5396066554508</c:v>
                </c:pt>
                <c:pt idx="46">
                  <c:v>-178.83987562282579</c:v>
                </c:pt>
                <c:pt idx="47">
                  <c:v>-179.07843397554979</c:v>
                </c:pt>
                <c:pt idx="48">
                  <c:v>-179.26795079005541</c:v>
                </c:pt>
                <c:pt idx="49">
                  <c:v>-179.41850096630344</c:v>
                </c:pt>
                <c:pt idx="50">
                  <c:v>-179.53809304634657</c:v>
                </c:pt>
              </c:numCache>
            </c:numRef>
          </c:yVal>
          <c:smooth val="1"/>
          <c:extLst>
            <c:ext xmlns:c16="http://schemas.microsoft.com/office/drawing/2014/chart" uri="{C3380CC4-5D6E-409C-BE32-E72D297353CC}">
              <c16:uniqueId val="{00000001-E788-4643-8550-AD4FEEA27AFA}"/>
            </c:ext>
          </c:extLst>
        </c:ser>
        <c:dLbls>
          <c:showLegendKey val="0"/>
          <c:showVal val="0"/>
          <c:showCatName val="0"/>
          <c:showSerName val="0"/>
          <c:showPercent val="0"/>
          <c:showBubbleSize val="0"/>
        </c:dLbls>
        <c:axId val="142672640"/>
        <c:axId val="142674176"/>
      </c:scatterChart>
      <c:valAx>
        <c:axId val="141275904"/>
        <c:scaling>
          <c:logBase val="10"/>
          <c:orientation val="minMax"/>
          <c:max val="1000000"/>
          <c:min val="10"/>
        </c:scaling>
        <c:delete val="0"/>
        <c:axPos val="b"/>
        <c:majorGridlines>
          <c:spPr>
            <a:ln w="3175" cap="flat" cmpd="sng" algn="ctr">
              <a:solidFill>
                <a:srgbClr val="000000"/>
              </a:solidFill>
              <a:prstDash val="solid"/>
              <a:round/>
            </a:ln>
          </c:spPr>
        </c:majorGridlines>
        <c:minorGridlines>
          <c:spPr>
            <a:ln w="3175" cap="flat" cmpd="sng" algn="ctr">
              <a:solidFill>
                <a:srgbClr val="000000"/>
              </a:solidFill>
              <a:prstDash val="solid"/>
              <a:round/>
            </a:ln>
          </c:spPr>
        </c:minorGridlines>
        <c:title>
          <c:tx>
            <c:rich>
              <a:bodyPr rot="0" spcFirstLastPara="0" vertOverflow="ellipsis" vert="horz" wrap="square" anchor="ctr" anchorCtr="1"/>
              <a:lstStyle/>
              <a:p>
                <a:pPr>
                  <a:defRPr lang="zh-CN" sz="1075" b="1" i="0" u="none" strike="noStrike" kern="1200" baseline="0">
                    <a:solidFill>
                      <a:srgbClr val="000000"/>
                    </a:solidFill>
                    <a:latin typeface="Arial" panose="020B0604020202020204"/>
                    <a:ea typeface="Arial" panose="020B0604020202020204"/>
                    <a:cs typeface="Arial" panose="020B0604020202020204"/>
                  </a:defRPr>
                </a:pPr>
                <a:r>
                  <a:rPr lang="en-US"/>
                  <a:t>Frequency (Hz)</a:t>
                </a:r>
              </a:p>
            </c:rich>
          </c:tx>
          <c:layout>
            <c:manualLayout>
              <c:xMode val="edge"/>
              <c:yMode val="edge"/>
              <c:x val="0.42781456953642399"/>
              <c:y val="0.86948176583493297"/>
            </c:manualLayout>
          </c:layout>
          <c:overlay val="0"/>
          <c:spPr>
            <a:noFill/>
            <a:ln w="25400">
              <a:noFill/>
            </a:ln>
          </c:spPr>
        </c:title>
        <c:numFmt formatCode="General" sourceLinked="1"/>
        <c:majorTickMark val="out"/>
        <c:minorTickMark val="none"/>
        <c:tickLblPos val="nextTo"/>
        <c:spPr>
          <a:ln w="3175" cap="flat" cmpd="sng" algn="ctr">
            <a:solidFill>
              <a:srgbClr val="000000"/>
            </a:solidFill>
            <a:prstDash val="solid"/>
            <a:round/>
          </a:ln>
        </c:spPr>
        <c:txPr>
          <a:bodyPr rot="0" spcFirstLastPara="0" vertOverflow="ellipsis" vert="horz" wrap="square" anchor="ctr" anchorCtr="1"/>
          <a:lstStyle/>
          <a:p>
            <a:pPr>
              <a:defRPr lang="zh-CN" sz="1075" b="0" i="0" u="none" strike="noStrike" kern="1200" baseline="0">
                <a:solidFill>
                  <a:srgbClr val="000000"/>
                </a:solidFill>
                <a:latin typeface="Arial" panose="020B0604020202020204"/>
                <a:ea typeface="Arial" panose="020B0604020202020204"/>
                <a:cs typeface="Arial" panose="020B0604020202020204"/>
              </a:defRPr>
            </a:pPr>
            <a:endParaRPr lang="zh-CN"/>
          </a:p>
        </c:txPr>
        <c:crossAx val="141277824"/>
        <c:crossesAt val="-100"/>
        <c:crossBetween val="midCat"/>
        <c:majorUnit val="10"/>
        <c:minorUnit val="10"/>
      </c:valAx>
      <c:valAx>
        <c:axId val="141277824"/>
        <c:scaling>
          <c:orientation val="minMax"/>
          <c:max val="100"/>
          <c:min val="-100"/>
        </c:scaling>
        <c:delete val="0"/>
        <c:axPos val="l"/>
        <c:majorGridlines>
          <c:spPr>
            <a:ln w="3175" cap="flat" cmpd="sng" algn="ctr">
              <a:solidFill>
                <a:srgbClr val="000000"/>
              </a:solidFill>
              <a:prstDash val="solid"/>
              <a:round/>
            </a:ln>
          </c:spPr>
        </c:majorGridlines>
        <c:title>
          <c:tx>
            <c:rich>
              <a:bodyPr rot="-5400000" spcFirstLastPara="0" vertOverflow="ellipsis" vert="horz" wrap="square" anchor="ctr" anchorCtr="1"/>
              <a:lstStyle/>
              <a:p>
                <a:pPr>
                  <a:defRPr lang="zh-CN" sz="1075" b="1" i="0" u="none" strike="noStrike" kern="1200" baseline="0">
                    <a:solidFill>
                      <a:srgbClr val="000000"/>
                    </a:solidFill>
                    <a:latin typeface="Arial" panose="020B0604020202020204"/>
                    <a:ea typeface="Arial" panose="020B0604020202020204"/>
                    <a:cs typeface="Arial" panose="020B0604020202020204"/>
                  </a:defRPr>
                </a:pPr>
                <a:r>
                  <a:rPr lang="en-US"/>
                  <a:t>Gain (dB)</a:t>
                </a:r>
              </a:p>
            </c:rich>
          </c:tx>
          <c:layout>
            <c:manualLayout>
              <c:xMode val="edge"/>
              <c:yMode val="edge"/>
              <c:x val="2.1192052980132499E-2"/>
              <c:y val="0.410748560460653"/>
            </c:manualLayout>
          </c:layout>
          <c:overlay val="0"/>
          <c:spPr>
            <a:noFill/>
            <a:ln w="25400">
              <a:noFill/>
            </a:ln>
          </c:spPr>
        </c:title>
        <c:numFmt formatCode="General" sourceLinked="1"/>
        <c:majorTickMark val="out"/>
        <c:minorTickMark val="none"/>
        <c:tickLblPos val="nextTo"/>
        <c:spPr>
          <a:ln w="3175" cap="flat" cmpd="sng" algn="ctr">
            <a:solidFill>
              <a:srgbClr val="000000"/>
            </a:solidFill>
            <a:prstDash val="solid"/>
            <a:round/>
          </a:ln>
        </c:spPr>
        <c:txPr>
          <a:bodyPr rot="0" spcFirstLastPara="0" vertOverflow="ellipsis" vert="horz" wrap="square" anchor="ctr" anchorCtr="1"/>
          <a:lstStyle/>
          <a:p>
            <a:pPr>
              <a:defRPr lang="zh-CN" sz="1075" b="0" i="0" u="none" strike="noStrike" kern="1200" baseline="0">
                <a:solidFill>
                  <a:srgbClr val="000000"/>
                </a:solidFill>
                <a:latin typeface="Arial" panose="020B0604020202020204"/>
                <a:ea typeface="Arial" panose="020B0604020202020204"/>
                <a:cs typeface="Arial" panose="020B0604020202020204"/>
              </a:defRPr>
            </a:pPr>
            <a:endParaRPr lang="zh-CN"/>
          </a:p>
        </c:txPr>
        <c:crossAx val="141275904"/>
        <c:crossesAt val="10"/>
        <c:crossBetween val="midCat"/>
        <c:minorUnit val="10"/>
      </c:valAx>
      <c:valAx>
        <c:axId val="142672640"/>
        <c:scaling>
          <c:logBase val="10"/>
          <c:orientation val="minMax"/>
        </c:scaling>
        <c:delete val="1"/>
        <c:axPos val="b"/>
        <c:numFmt formatCode="General" sourceLinked="1"/>
        <c:majorTickMark val="out"/>
        <c:minorTickMark val="none"/>
        <c:tickLblPos val="none"/>
        <c:crossAx val="142674176"/>
        <c:crossesAt val="-180"/>
        <c:crossBetween val="midCat"/>
      </c:valAx>
      <c:valAx>
        <c:axId val="142674176"/>
        <c:scaling>
          <c:orientation val="minMax"/>
          <c:max val="-80"/>
          <c:min val="-180"/>
        </c:scaling>
        <c:delete val="0"/>
        <c:axPos val="r"/>
        <c:title>
          <c:tx>
            <c:rich>
              <a:bodyPr rot="5400000" spcFirstLastPara="0" vertOverflow="ellipsis" vert="horz" wrap="square" anchor="ctr" anchorCtr="1"/>
              <a:lstStyle/>
              <a:p>
                <a:pPr algn="ctr">
                  <a:defRPr lang="zh-CN" sz="1000" b="1" i="0" u="none" strike="noStrike" kern="1200" baseline="0">
                    <a:solidFill>
                      <a:srgbClr val="000000"/>
                    </a:solidFill>
                    <a:latin typeface="Arial" panose="020B0604020202020204"/>
                    <a:ea typeface="Arial" panose="020B0604020202020204"/>
                    <a:cs typeface="Arial" panose="020B0604020202020204"/>
                  </a:defRPr>
                </a:pPr>
                <a:r>
                  <a:rPr lang="en-US"/>
                  <a:t>Phase (degrees)</a:t>
                </a:r>
              </a:p>
            </c:rich>
          </c:tx>
          <c:layout>
            <c:manualLayout>
              <c:xMode val="edge"/>
              <c:yMode val="edge"/>
              <c:x val="0.94966887417218504"/>
              <c:y val="0.37428023032629598"/>
            </c:manualLayout>
          </c:layout>
          <c:overlay val="0"/>
          <c:spPr>
            <a:noFill/>
            <a:ln w="25400">
              <a:noFill/>
            </a:ln>
          </c:spPr>
        </c:title>
        <c:numFmt formatCode="General" sourceLinked="1"/>
        <c:majorTickMark val="cross"/>
        <c:minorTickMark val="none"/>
        <c:tickLblPos val="nextTo"/>
        <c:spPr>
          <a:ln w="3175" cap="flat" cmpd="sng" algn="ctr">
            <a:solidFill>
              <a:srgbClr val="000000"/>
            </a:solidFill>
            <a:prstDash val="solid"/>
            <a:round/>
          </a:ln>
        </c:spPr>
        <c:txPr>
          <a:bodyPr rot="0" spcFirstLastPara="0" vertOverflow="ellipsis" vert="horz" wrap="square" anchor="ctr" anchorCtr="1"/>
          <a:lstStyle/>
          <a:p>
            <a:pPr>
              <a:defRPr lang="zh-CN" sz="1075" b="0" i="0" u="none" strike="noStrike" kern="1200" baseline="0">
                <a:solidFill>
                  <a:srgbClr val="000000"/>
                </a:solidFill>
                <a:latin typeface="Arial" panose="020B0604020202020204"/>
                <a:ea typeface="Arial" panose="020B0604020202020204"/>
                <a:cs typeface="Arial" panose="020B0604020202020204"/>
              </a:defRPr>
            </a:pPr>
            <a:endParaRPr lang="zh-CN"/>
          </a:p>
        </c:txPr>
        <c:crossAx val="142672640"/>
        <c:crosses val="max"/>
        <c:crossBetween val="midCat"/>
        <c:minorUnit val="10"/>
      </c:valAx>
      <c:spPr>
        <a:gradFill rotWithShape="0">
          <a:gsLst>
            <a:gs pos="0">
              <a:srgbClr val="FFFFFF"/>
            </a:gs>
            <a:gs pos="100000">
              <a:srgbClr val="FFFFCC"/>
            </a:gs>
          </a:gsLst>
          <a:lin ang="5400000" scaled="1"/>
        </a:gradFill>
        <a:ln w="12700">
          <a:solidFill>
            <a:srgbClr val="808080"/>
          </a:solidFill>
          <a:prstDash val="solid"/>
        </a:ln>
      </c:spPr>
    </c:plotArea>
    <c:legend>
      <c:legendPos val="b"/>
      <c:layout>
        <c:manualLayout>
          <c:xMode val="edge"/>
          <c:yMode val="edge"/>
          <c:x val="0.406622516556291"/>
          <c:y val="0.93857965451055703"/>
          <c:w val="0.18940397350993399"/>
          <c:h val="4.7984644913627597E-2"/>
        </c:manualLayout>
      </c:layout>
      <c:overlay val="0"/>
      <c:spPr>
        <a:solidFill>
          <a:srgbClr val="FFFFFF"/>
        </a:solidFill>
        <a:ln w="3175">
          <a:solidFill>
            <a:srgbClr val="000000"/>
          </a:solidFill>
          <a:prstDash val="solid"/>
        </a:ln>
      </c:spPr>
      <c:txPr>
        <a:bodyPr rot="0" spcFirstLastPara="0" vertOverflow="ellipsis" vert="horz" wrap="square" anchor="ctr" anchorCtr="1"/>
        <a:lstStyle/>
        <a:p>
          <a:pPr>
            <a:defRPr lang="zh-CN" sz="985" b="0" i="0" u="none" strike="noStrike" kern="1200" baseline="0">
              <a:solidFill>
                <a:srgbClr val="000000"/>
              </a:solidFill>
              <a:latin typeface="Arial" panose="020B0604020202020204"/>
              <a:ea typeface="Arial" panose="020B0604020202020204"/>
              <a:cs typeface="Arial" panose="020B0604020202020204"/>
            </a:defRPr>
          </a:pPr>
          <a:endParaRPr lang="zh-CN"/>
        </a:p>
      </c:txPr>
    </c:legend>
    <c:plotVisOnly val="1"/>
    <c:dispBlanksAs val="gap"/>
    <c:showDLblsOverMax val="0"/>
    <c:extLst>
      <c:ext uri="{0b15fc19-7d7d-44ad-8c2d-2c3a37ce22c3}">
        <chartProps xmlns="https://web.wps.cn/et/2018/main" chartId="{ba687ed6-5776-4160-95a6-79e64fca7bcf}"/>
      </c:ext>
    </c:extLst>
  </c:chart>
  <c:spPr>
    <a:solidFill>
      <a:srgbClr val="FFFFFF"/>
    </a:solidFill>
    <a:ln w="3175" cap="flat" cmpd="sng" algn="ctr">
      <a:solidFill>
        <a:srgbClr val="000000"/>
      </a:solidFill>
      <a:prstDash val="solid"/>
      <a:round/>
    </a:ln>
  </c:spPr>
  <c:txPr>
    <a:bodyPr/>
    <a:lstStyle/>
    <a:p>
      <a:pPr>
        <a:defRPr lang="zh-CN" sz="1075" b="0" i="0" u="none" strike="noStrike" baseline="0">
          <a:solidFill>
            <a:srgbClr val="000000"/>
          </a:solidFill>
          <a:latin typeface="Arial" panose="020B0604020202020204"/>
          <a:ea typeface="Arial" panose="020B0604020202020204"/>
          <a:cs typeface="Arial" panose="020B0604020202020204"/>
        </a:defRPr>
      </a:pPr>
      <a:endParaRPr lang="zh-CN"/>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875" b="1" i="0" u="none" strike="noStrike" kern="1200" baseline="0">
                <a:solidFill>
                  <a:srgbClr val="000000"/>
                </a:solidFill>
                <a:latin typeface="Arial" panose="020B0604020202020204"/>
                <a:ea typeface="Arial" panose="020B0604020202020204"/>
                <a:cs typeface="Arial" panose="020B0604020202020204"/>
              </a:defRPr>
            </a:pPr>
            <a:r>
              <a:rPr lang="en-US"/>
              <a:t>Input Voltage and Current Waveforms</a:t>
            </a:r>
          </a:p>
        </c:rich>
      </c:tx>
      <c:layout>
        <c:manualLayout>
          <c:xMode val="edge"/>
          <c:yMode val="edge"/>
          <c:x val="0.35723817910412897"/>
          <c:y val="3.3426183844011102E-2"/>
        </c:manualLayout>
      </c:layout>
      <c:overlay val="0"/>
      <c:spPr>
        <a:noFill/>
        <a:ln w="25400">
          <a:noFill/>
        </a:ln>
      </c:spPr>
    </c:title>
    <c:autoTitleDeleted val="0"/>
    <c:plotArea>
      <c:layout>
        <c:manualLayout>
          <c:layoutTarget val="inner"/>
          <c:xMode val="edge"/>
          <c:yMode val="edge"/>
          <c:x val="8.6321493092075804E-2"/>
          <c:y val="0.16991643454038999"/>
          <c:w val="0.83267040259587"/>
          <c:h val="0.64345403899721498"/>
        </c:manualLayout>
      </c:layout>
      <c:scatterChart>
        <c:scatterStyle val="smoothMarker"/>
        <c:varyColors val="0"/>
        <c:ser>
          <c:idx val="0"/>
          <c:order val="0"/>
          <c:tx>
            <c:v>Vin</c:v>
          </c:tx>
          <c:spPr>
            <a:ln w="38100" cap="rnd" cmpd="sng" algn="ctr">
              <a:solidFill>
                <a:srgbClr val="FF0000"/>
              </a:solidFill>
              <a:prstDash val="solid"/>
              <a:round/>
            </a:ln>
          </c:spPr>
          <c:marker>
            <c:symbol val="none"/>
          </c:marker>
          <c:xVal>
            <c:numRef>
              <c:f>data!$A$273:$A$382</c:f>
              <c:numCache>
                <c:formatCode>General</c:formatCode>
                <c:ptCount val="110"/>
                <c:pt idx="0">
                  <c:v>0</c:v>
                </c:pt>
                <c:pt idx="1">
                  <c:v>0.1</c:v>
                </c:pt>
                <c:pt idx="2">
                  <c:v>0.2</c:v>
                </c:pt>
                <c:pt idx="3">
                  <c:v>0.3</c:v>
                </c:pt>
                <c:pt idx="4">
                  <c:v>0.4</c:v>
                </c:pt>
                <c:pt idx="5">
                  <c:v>0.5</c:v>
                </c:pt>
                <c:pt idx="6">
                  <c:v>0.6</c:v>
                </c:pt>
                <c:pt idx="7">
                  <c:v>0.7</c:v>
                </c:pt>
                <c:pt idx="8">
                  <c:v>0.8</c:v>
                </c:pt>
                <c:pt idx="9">
                  <c:v>0.9</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pt idx="53">
                  <c:v>44</c:v>
                </c:pt>
                <c:pt idx="54">
                  <c:v>45</c:v>
                </c:pt>
                <c:pt idx="55">
                  <c:v>46</c:v>
                </c:pt>
                <c:pt idx="56">
                  <c:v>47</c:v>
                </c:pt>
                <c:pt idx="57">
                  <c:v>48</c:v>
                </c:pt>
                <c:pt idx="58">
                  <c:v>49</c:v>
                </c:pt>
                <c:pt idx="59">
                  <c:v>50</c:v>
                </c:pt>
                <c:pt idx="60">
                  <c:v>51</c:v>
                </c:pt>
                <c:pt idx="61">
                  <c:v>52</c:v>
                </c:pt>
                <c:pt idx="62">
                  <c:v>53</c:v>
                </c:pt>
                <c:pt idx="63">
                  <c:v>54</c:v>
                </c:pt>
                <c:pt idx="64">
                  <c:v>55</c:v>
                </c:pt>
                <c:pt idx="65">
                  <c:v>56</c:v>
                </c:pt>
                <c:pt idx="66">
                  <c:v>57</c:v>
                </c:pt>
                <c:pt idx="67">
                  <c:v>58</c:v>
                </c:pt>
                <c:pt idx="68">
                  <c:v>59</c:v>
                </c:pt>
                <c:pt idx="69">
                  <c:v>60</c:v>
                </c:pt>
                <c:pt idx="70">
                  <c:v>61</c:v>
                </c:pt>
                <c:pt idx="71">
                  <c:v>62</c:v>
                </c:pt>
                <c:pt idx="72">
                  <c:v>63</c:v>
                </c:pt>
                <c:pt idx="73">
                  <c:v>64</c:v>
                </c:pt>
                <c:pt idx="74">
                  <c:v>65</c:v>
                </c:pt>
                <c:pt idx="75">
                  <c:v>66</c:v>
                </c:pt>
                <c:pt idx="76">
                  <c:v>67</c:v>
                </c:pt>
                <c:pt idx="77">
                  <c:v>68</c:v>
                </c:pt>
                <c:pt idx="78">
                  <c:v>69</c:v>
                </c:pt>
                <c:pt idx="79">
                  <c:v>70</c:v>
                </c:pt>
                <c:pt idx="80">
                  <c:v>71</c:v>
                </c:pt>
                <c:pt idx="81">
                  <c:v>72</c:v>
                </c:pt>
                <c:pt idx="82">
                  <c:v>73</c:v>
                </c:pt>
                <c:pt idx="83">
                  <c:v>74</c:v>
                </c:pt>
                <c:pt idx="84">
                  <c:v>75</c:v>
                </c:pt>
                <c:pt idx="85">
                  <c:v>76</c:v>
                </c:pt>
                <c:pt idx="86">
                  <c:v>77</c:v>
                </c:pt>
                <c:pt idx="87">
                  <c:v>78</c:v>
                </c:pt>
                <c:pt idx="88">
                  <c:v>79</c:v>
                </c:pt>
                <c:pt idx="89">
                  <c:v>80</c:v>
                </c:pt>
                <c:pt idx="90">
                  <c:v>81</c:v>
                </c:pt>
                <c:pt idx="91">
                  <c:v>82</c:v>
                </c:pt>
                <c:pt idx="92">
                  <c:v>83</c:v>
                </c:pt>
                <c:pt idx="93">
                  <c:v>84</c:v>
                </c:pt>
                <c:pt idx="94">
                  <c:v>85</c:v>
                </c:pt>
                <c:pt idx="95">
                  <c:v>86</c:v>
                </c:pt>
                <c:pt idx="96">
                  <c:v>87</c:v>
                </c:pt>
                <c:pt idx="97">
                  <c:v>88</c:v>
                </c:pt>
                <c:pt idx="98">
                  <c:v>89</c:v>
                </c:pt>
                <c:pt idx="99">
                  <c:v>90</c:v>
                </c:pt>
                <c:pt idx="100">
                  <c:v>91</c:v>
                </c:pt>
                <c:pt idx="101">
                  <c:v>92</c:v>
                </c:pt>
                <c:pt idx="102">
                  <c:v>93</c:v>
                </c:pt>
                <c:pt idx="103">
                  <c:v>94</c:v>
                </c:pt>
                <c:pt idx="104">
                  <c:v>95</c:v>
                </c:pt>
                <c:pt idx="105">
                  <c:v>96</c:v>
                </c:pt>
                <c:pt idx="106">
                  <c:v>97</c:v>
                </c:pt>
                <c:pt idx="107">
                  <c:v>98</c:v>
                </c:pt>
                <c:pt idx="108">
                  <c:v>99</c:v>
                </c:pt>
                <c:pt idx="109">
                  <c:v>100</c:v>
                </c:pt>
              </c:numCache>
            </c:numRef>
          </c:xVal>
          <c:yVal>
            <c:numRef>
              <c:f>data!$C$273:$C$382</c:f>
              <c:numCache>
                <c:formatCode>General</c:formatCode>
                <c:ptCount val="110"/>
                <c:pt idx="0">
                  <c:v>0</c:v>
                </c:pt>
                <c:pt idx="1">
                  <c:v>0.45237743580069362</c:v>
                </c:pt>
                <c:pt idx="2">
                  <c:v>0.90468343596015</c:v>
                </c:pt>
                <c:pt idx="3">
                  <c:v>1.356846576117642</c:v>
                </c:pt>
                <c:pt idx="4">
                  <c:v>1.8087954544717055</c:v>
                </c:pt>
                <c:pt idx="5">
                  <c:v>2.2604587030552823</c:v>
                </c:pt>
                <c:pt idx="6">
                  <c:v>2.711764999005577</c:v>
                </c:pt>
                <c:pt idx="7">
                  <c:v>3.1626430758267547</c:v>
                </c:pt>
                <c:pt idx="8">
                  <c:v>3.6130217346437403</c:v>
                </c:pt>
                <c:pt idx="9">
                  <c:v>4.0628298554453517</c:v>
                </c:pt>
                <c:pt idx="10">
                  <c:v>4.5119964083149444</c:v>
                </c:pt>
                <c:pt idx="11">
                  <c:v>8.9528359379347791</c:v>
                </c:pt>
                <c:pt idx="12">
                  <c:v>13.252483896648407</c:v>
                </c:pt>
                <c:pt idx="13">
                  <c:v>17.343132267661741</c:v>
                </c:pt>
                <c:pt idx="14">
                  <c:v>21.16026908252903</c:v>
                </c:pt>
                <c:pt idx="15">
                  <c:v>24.643695813432803</c:v>
                </c:pt>
                <c:pt idx="16">
                  <c:v>27.738476739928405</c:v>
                </c:pt>
                <c:pt idx="17">
                  <c:v>30.39580531807254</c:v>
                </c:pt>
                <c:pt idx="18">
                  <c:v>32.573773888776721</c:v>
                </c:pt>
                <c:pt idx="19">
                  <c:v>34.238034586625545</c:v>
                </c:pt>
                <c:pt idx="20">
                  <c:v>35.362341026232805</c:v>
                </c:pt>
                <c:pt idx="21">
                  <c:v>35.928962223417791</c:v>
                </c:pt>
                <c:pt idx="22">
                  <c:v>35.928962223417791</c:v>
                </c:pt>
                <c:pt idx="23">
                  <c:v>35.362341026232805</c:v>
                </c:pt>
                <c:pt idx="24">
                  <c:v>34.238034586625545</c:v>
                </c:pt>
                <c:pt idx="25">
                  <c:v>32.573773888776685</c:v>
                </c:pt>
                <c:pt idx="26">
                  <c:v>30.39580531807254</c:v>
                </c:pt>
                <c:pt idx="27">
                  <c:v>27.738476739928405</c:v>
                </c:pt>
                <c:pt idx="28">
                  <c:v>24.643695813432803</c:v>
                </c:pt>
                <c:pt idx="29">
                  <c:v>21.16026908252903</c:v>
                </c:pt>
                <c:pt idx="30">
                  <c:v>17.343132267661741</c:v>
                </c:pt>
                <c:pt idx="31">
                  <c:v>13.252483896648407</c:v>
                </c:pt>
                <c:pt idx="32">
                  <c:v>8.9528359379347791</c:v>
                </c:pt>
                <c:pt idx="33">
                  <c:v>4.5119964083149799</c:v>
                </c:pt>
                <c:pt idx="34">
                  <c:v>4.4087284769304598E-15</c:v>
                </c:pt>
                <c:pt idx="35">
                  <c:v>4.5119964083149444</c:v>
                </c:pt>
                <c:pt idx="36">
                  <c:v>8.9528359379347791</c:v>
                </c:pt>
                <c:pt idx="37">
                  <c:v>13.252483896648407</c:v>
                </c:pt>
                <c:pt idx="38">
                  <c:v>17.343132267661741</c:v>
                </c:pt>
                <c:pt idx="39">
                  <c:v>21.16026908252903</c:v>
                </c:pt>
                <c:pt idx="40">
                  <c:v>24.643695813432767</c:v>
                </c:pt>
                <c:pt idx="41">
                  <c:v>27.738476739928405</c:v>
                </c:pt>
                <c:pt idx="42">
                  <c:v>30.39580531807254</c:v>
                </c:pt>
                <c:pt idx="43">
                  <c:v>32.573773888776721</c:v>
                </c:pt>
                <c:pt idx="44">
                  <c:v>34.238034586625545</c:v>
                </c:pt>
                <c:pt idx="45">
                  <c:v>35.362341026232805</c:v>
                </c:pt>
                <c:pt idx="46">
                  <c:v>35.928962223417791</c:v>
                </c:pt>
                <c:pt idx="47">
                  <c:v>35.928962223417791</c:v>
                </c:pt>
                <c:pt idx="48">
                  <c:v>35.362341026232805</c:v>
                </c:pt>
                <c:pt idx="49">
                  <c:v>34.238034586625545</c:v>
                </c:pt>
                <c:pt idx="50">
                  <c:v>32.573773888776721</c:v>
                </c:pt>
                <c:pt idx="51">
                  <c:v>30.39580531807254</c:v>
                </c:pt>
                <c:pt idx="52">
                  <c:v>27.738476739928441</c:v>
                </c:pt>
                <c:pt idx="53">
                  <c:v>24.643695813432803</c:v>
                </c:pt>
                <c:pt idx="54">
                  <c:v>21.16026908252903</c:v>
                </c:pt>
                <c:pt idx="55">
                  <c:v>17.343132267661776</c:v>
                </c:pt>
                <c:pt idx="56">
                  <c:v>13.252483896648407</c:v>
                </c:pt>
                <c:pt idx="57">
                  <c:v>8.9528359379347791</c:v>
                </c:pt>
                <c:pt idx="58">
                  <c:v>4.5119964083149799</c:v>
                </c:pt>
                <c:pt idx="59">
                  <c:v>8.8174569538609559E-15</c:v>
                </c:pt>
                <c:pt idx="60">
                  <c:v>4.5119964083149444</c:v>
                </c:pt>
                <c:pt idx="61">
                  <c:v>8.9528359379347791</c:v>
                </c:pt>
                <c:pt idx="62">
                  <c:v>13.252483896648407</c:v>
                </c:pt>
                <c:pt idx="63">
                  <c:v>17.343132267661741</c:v>
                </c:pt>
                <c:pt idx="64">
                  <c:v>21.16026908252903</c:v>
                </c:pt>
                <c:pt idx="65">
                  <c:v>24.643695813432803</c:v>
                </c:pt>
                <c:pt idx="66">
                  <c:v>27.738476739928405</c:v>
                </c:pt>
                <c:pt idx="67">
                  <c:v>30.39580531807254</c:v>
                </c:pt>
                <c:pt idx="68">
                  <c:v>32.573773888776685</c:v>
                </c:pt>
                <c:pt idx="69">
                  <c:v>34.23803458662551</c:v>
                </c:pt>
                <c:pt idx="70">
                  <c:v>35.362341026232805</c:v>
                </c:pt>
                <c:pt idx="71">
                  <c:v>35.928962223417791</c:v>
                </c:pt>
                <c:pt idx="72">
                  <c:v>35.928962223417791</c:v>
                </c:pt>
                <c:pt idx="73">
                  <c:v>35.362341026232805</c:v>
                </c:pt>
                <c:pt idx="74">
                  <c:v>34.238034586625545</c:v>
                </c:pt>
                <c:pt idx="75">
                  <c:v>32.573773888776685</c:v>
                </c:pt>
                <c:pt idx="76">
                  <c:v>30.39580531807254</c:v>
                </c:pt>
                <c:pt idx="77">
                  <c:v>27.738476739928405</c:v>
                </c:pt>
                <c:pt idx="78">
                  <c:v>24.643695813432767</c:v>
                </c:pt>
                <c:pt idx="79">
                  <c:v>21.16026908252903</c:v>
                </c:pt>
                <c:pt idx="80">
                  <c:v>17.343132267661741</c:v>
                </c:pt>
                <c:pt idx="81">
                  <c:v>13.252483896648407</c:v>
                </c:pt>
                <c:pt idx="82">
                  <c:v>8.9528359379347791</c:v>
                </c:pt>
                <c:pt idx="83">
                  <c:v>4.5119964083149444</c:v>
                </c:pt>
                <c:pt idx="84">
                  <c:v>1.3226185430791415E-14</c:v>
                </c:pt>
                <c:pt idx="85">
                  <c:v>4.511996408314908</c:v>
                </c:pt>
                <c:pt idx="86">
                  <c:v>8.9528359379347791</c:v>
                </c:pt>
                <c:pt idx="87">
                  <c:v>13.252483896648371</c:v>
                </c:pt>
                <c:pt idx="88">
                  <c:v>17.343132267661776</c:v>
                </c:pt>
                <c:pt idx="89">
                  <c:v>21.16026908252903</c:v>
                </c:pt>
                <c:pt idx="90">
                  <c:v>24.643695813432767</c:v>
                </c:pt>
                <c:pt idx="91">
                  <c:v>27.73847673992837</c:v>
                </c:pt>
                <c:pt idx="92">
                  <c:v>30.395805318072576</c:v>
                </c:pt>
                <c:pt idx="93">
                  <c:v>32.573773888776721</c:v>
                </c:pt>
                <c:pt idx="94">
                  <c:v>34.23803458662551</c:v>
                </c:pt>
                <c:pt idx="95">
                  <c:v>35.36234102623277</c:v>
                </c:pt>
                <c:pt idx="96">
                  <c:v>35.928962223417756</c:v>
                </c:pt>
                <c:pt idx="97">
                  <c:v>35.928962223417791</c:v>
                </c:pt>
                <c:pt idx="98">
                  <c:v>35.362341026232805</c:v>
                </c:pt>
                <c:pt idx="99">
                  <c:v>34.238034586625545</c:v>
                </c:pt>
                <c:pt idx="100">
                  <c:v>32.573773888776721</c:v>
                </c:pt>
                <c:pt idx="101">
                  <c:v>30.395805318072576</c:v>
                </c:pt>
                <c:pt idx="102">
                  <c:v>27.738476739928441</c:v>
                </c:pt>
                <c:pt idx="103">
                  <c:v>24.643695813432803</c:v>
                </c:pt>
                <c:pt idx="104">
                  <c:v>21.16026908252903</c:v>
                </c:pt>
                <c:pt idx="105">
                  <c:v>17.343132267661776</c:v>
                </c:pt>
                <c:pt idx="106">
                  <c:v>13.252483896648407</c:v>
                </c:pt>
                <c:pt idx="107">
                  <c:v>8.9528359379348164</c:v>
                </c:pt>
                <c:pt idx="108">
                  <c:v>4.5119964083149444</c:v>
                </c:pt>
                <c:pt idx="109">
                  <c:v>1.7634913907721874E-14</c:v>
                </c:pt>
              </c:numCache>
            </c:numRef>
          </c:yVal>
          <c:smooth val="1"/>
          <c:extLst>
            <c:ext xmlns:c16="http://schemas.microsoft.com/office/drawing/2014/chart" uri="{C3380CC4-5D6E-409C-BE32-E72D297353CC}">
              <c16:uniqueId val="{00000000-ABBB-4979-B402-119CB64D2BAB}"/>
            </c:ext>
          </c:extLst>
        </c:ser>
        <c:dLbls>
          <c:showLegendKey val="0"/>
          <c:showVal val="0"/>
          <c:showCatName val="0"/>
          <c:showSerName val="0"/>
          <c:showPercent val="0"/>
          <c:showBubbleSize val="0"/>
        </c:dLbls>
        <c:axId val="142705408"/>
        <c:axId val="142706944"/>
      </c:scatterChart>
      <c:scatterChart>
        <c:scatterStyle val="lineMarker"/>
        <c:varyColors val="0"/>
        <c:ser>
          <c:idx val="1"/>
          <c:order val="1"/>
          <c:tx>
            <c:v>Iin</c:v>
          </c:tx>
          <c:spPr>
            <a:ln w="38100" cap="rnd" cmpd="sng" algn="ctr">
              <a:solidFill>
                <a:srgbClr val="0000FF"/>
              </a:solidFill>
              <a:prstDash val="solid"/>
              <a:round/>
            </a:ln>
          </c:spPr>
          <c:marker>
            <c:symbol val="none"/>
          </c:marker>
          <c:xVal>
            <c:numRef>
              <c:f>data!$A$273:$A$382</c:f>
              <c:numCache>
                <c:formatCode>General</c:formatCode>
                <c:ptCount val="110"/>
                <c:pt idx="0">
                  <c:v>0</c:v>
                </c:pt>
                <c:pt idx="1">
                  <c:v>0.1</c:v>
                </c:pt>
                <c:pt idx="2">
                  <c:v>0.2</c:v>
                </c:pt>
                <c:pt idx="3">
                  <c:v>0.3</c:v>
                </c:pt>
                <c:pt idx="4">
                  <c:v>0.4</c:v>
                </c:pt>
                <c:pt idx="5">
                  <c:v>0.5</c:v>
                </c:pt>
                <c:pt idx="6">
                  <c:v>0.6</c:v>
                </c:pt>
                <c:pt idx="7">
                  <c:v>0.7</c:v>
                </c:pt>
                <c:pt idx="8">
                  <c:v>0.8</c:v>
                </c:pt>
                <c:pt idx="9">
                  <c:v>0.9</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pt idx="53">
                  <c:v>44</c:v>
                </c:pt>
                <c:pt idx="54">
                  <c:v>45</c:v>
                </c:pt>
                <c:pt idx="55">
                  <c:v>46</c:v>
                </c:pt>
                <c:pt idx="56">
                  <c:v>47</c:v>
                </c:pt>
                <c:pt idx="57">
                  <c:v>48</c:v>
                </c:pt>
                <c:pt idx="58">
                  <c:v>49</c:v>
                </c:pt>
                <c:pt idx="59">
                  <c:v>50</c:v>
                </c:pt>
                <c:pt idx="60">
                  <c:v>51</c:v>
                </c:pt>
                <c:pt idx="61">
                  <c:v>52</c:v>
                </c:pt>
                <c:pt idx="62">
                  <c:v>53</c:v>
                </c:pt>
                <c:pt idx="63">
                  <c:v>54</c:v>
                </c:pt>
                <c:pt idx="64">
                  <c:v>55</c:v>
                </c:pt>
                <c:pt idx="65">
                  <c:v>56</c:v>
                </c:pt>
                <c:pt idx="66">
                  <c:v>57</c:v>
                </c:pt>
                <c:pt idx="67">
                  <c:v>58</c:v>
                </c:pt>
                <c:pt idx="68">
                  <c:v>59</c:v>
                </c:pt>
                <c:pt idx="69">
                  <c:v>60</c:v>
                </c:pt>
                <c:pt idx="70">
                  <c:v>61</c:v>
                </c:pt>
                <c:pt idx="71">
                  <c:v>62</c:v>
                </c:pt>
                <c:pt idx="72">
                  <c:v>63</c:v>
                </c:pt>
                <c:pt idx="73">
                  <c:v>64</c:v>
                </c:pt>
                <c:pt idx="74">
                  <c:v>65</c:v>
                </c:pt>
                <c:pt idx="75">
                  <c:v>66</c:v>
                </c:pt>
                <c:pt idx="76">
                  <c:v>67</c:v>
                </c:pt>
                <c:pt idx="77">
                  <c:v>68</c:v>
                </c:pt>
                <c:pt idx="78">
                  <c:v>69</c:v>
                </c:pt>
                <c:pt idx="79">
                  <c:v>70</c:v>
                </c:pt>
                <c:pt idx="80">
                  <c:v>71</c:v>
                </c:pt>
                <c:pt idx="81">
                  <c:v>72</c:v>
                </c:pt>
                <c:pt idx="82">
                  <c:v>73</c:v>
                </c:pt>
                <c:pt idx="83">
                  <c:v>74</c:v>
                </c:pt>
                <c:pt idx="84">
                  <c:v>75</c:v>
                </c:pt>
                <c:pt idx="85">
                  <c:v>76</c:v>
                </c:pt>
                <c:pt idx="86">
                  <c:v>77</c:v>
                </c:pt>
                <c:pt idx="87">
                  <c:v>78</c:v>
                </c:pt>
                <c:pt idx="88">
                  <c:v>79</c:v>
                </c:pt>
                <c:pt idx="89">
                  <c:v>80</c:v>
                </c:pt>
                <c:pt idx="90">
                  <c:v>81</c:v>
                </c:pt>
                <c:pt idx="91">
                  <c:v>82</c:v>
                </c:pt>
                <c:pt idx="92">
                  <c:v>83</c:v>
                </c:pt>
                <c:pt idx="93">
                  <c:v>84</c:v>
                </c:pt>
                <c:pt idx="94">
                  <c:v>85</c:v>
                </c:pt>
                <c:pt idx="95">
                  <c:v>86</c:v>
                </c:pt>
                <c:pt idx="96">
                  <c:v>87</c:v>
                </c:pt>
                <c:pt idx="97">
                  <c:v>88</c:v>
                </c:pt>
                <c:pt idx="98">
                  <c:v>89</c:v>
                </c:pt>
                <c:pt idx="99">
                  <c:v>90</c:v>
                </c:pt>
                <c:pt idx="100">
                  <c:v>91</c:v>
                </c:pt>
                <c:pt idx="101">
                  <c:v>92</c:v>
                </c:pt>
                <c:pt idx="102">
                  <c:v>93</c:v>
                </c:pt>
                <c:pt idx="103">
                  <c:v>94</c:v>
                </c:pt>
                <c:pt idx="104">
                  <c:v>95</c:v>
                </c:pt>
                <c:pt idx="105">
                  <c:v>96</c:v>
                </c:pt>
                <c:pt idx="106">
                  <c:v>97</c:v>
                </c:pt>
                <c:pt idx="107">
                  <c:v>98</c:v>
                </c:pt>
                <c:pt idx="108">
                  <c:v>99</c:v>
                </c:pt>
                <c:pt idx="109">
                  <c:v>100</c:v>
                </c:pt>
              </c:numCache>
            </c:numRef>
          </c:xVal>
          <c:yVal>
            <c:numRef>
              <c:f>data!$D$273:$D$382</c:f>
              <c:numCache>
                <c:formatCode>General</c:formatCode>
                <c:ptCount val="110"/>
                <c:pt idx="0">
                  <c:v>0</c:v>
                </c:pt>
                <c:pt idx="1">
                  <c:v>3.4325183970901424E-2</c:v>
                </c:pt>
                <c:pt idx="2">
                  <c:v>6.8644947597343783E-2</c:v>
                </c:pt>
                <c:pt idx="3">
                  <c:v>0.10295387139080281</c:v>
                </c:pt>
                <c:pt idx="4">
                  <c:v>0.13724653757449046</c:v>
                </c:pt>
                <c:pt idx="5">
                  <c:v>0.1715175309388825</c:v>
                </c:pt>
                <c:pt idx="6">
                  <c:v>0.20576143969684491</c:v>
                </c:pt>
                <c:pt idx="7">
                  <c:v>0.23997285633821713</c:v>
                </c:pt>
                <c:pt idx="8">
                  <c:v>0.27414637848372014</c:v>
                </c:pt>
                <c:pt idx="9">
                  <c:v>0.30827660973805515</c:v>
                </c:pt>
                <c:pt idx="10">
                  <c:v>0.34235816054205476</c:v>
                </c:pt>
                <c:pt idx="11">
                  <c:v>0.67931712837751113</c:v>
                </c:pt>
                <c:pt idx="12">
                  <c:v>1.0055628592940702</c:v>
                </c:pt>
                <c:pt idx="13">
                  <c:v>1.3159502632254261</c:v>
                </c:pt>
                <c:pt idx="14">
                  <c:v>1.6055843453951353</c:v>
                </c:pt>
                <c:pt idx="15">
                  <c:v>1.8698974033083662</c:v>
                </c:pt>
                <c:pt idx="16">
                  <c:v>2.1047210621488577</c:v>
                </c:pt>
                <c:pt idx="17">
                  <c:v>2.3063520125398442</c:v>
                </c:pt>
                <c:pt idx="18">
                  <c:v>2.471610413945168</c:v>
                </c:pt>
                <c:pt idx="19">
                  <c:v>2.5978900426540812</c:v>
                </c:pt>
                <c:pt idx="20">
                  <c:v>2.683199393486051</c:v>
                </c:pt>
                <c:pt idx="21">
                  <c:v>2.7261930870171227</c:v>
                </c:pt>
                <c:pt idx="22">
                  <c:v>2.7261930870171227</c:v>
                </c:pt>
                <c:pt idx="23">
                  <c:v>2.683199393486051</c:v>
                </c:pt>
                <c:pt idx="24">
                  <c:v>2.5978900426540812</c:v>
                </c:pt>
                <c:pt idx="25">
                  <c:v>2.4716104139451653</c:v>
                </c:pt>
                <c:pt idx="26">
                  <c:v>2.3063520125398442</c:v>
                </c:pt>
                <c:pt idx="27">
                  <c:v>2.1047210621488577</c:v>
                </c:pt>
                <c:pt idx="28">
                  <c:v>1.8698974033083662</c:v>
                </c:pt>
                <c:pt idx="29">
                  <c:v>1.6055843453951353</c:v>
                </c:pt>
                <c:pt idx="30">
                  <c:v>1.3159502632254261</c:v>
                </c:pt>
                <c:pt idx="31">
                  <c:v>1.0055628592940702</c:v>
                </c:pt>
                <c:pt idx="32">
                  <c:v>0.67931712837751113</c:v>
                </c:pt>
                <c:pt idx="33">
                  <c:v>0.34235816054205742</c:v>
                </c:pt>
                <c:pt idx="34">
                  <c:v>3.3452246746246315E-16</c:v>
                </c:pt>
                <c:pt idx="35">
                  <c:v>0.34235816054205476</c:v>
                </c:pt>
                <c:pt idx="36">
                  <c:v>0.67931712837751113</c:v>
                </c:pt>
                <c:pt idx="37">
                  <c:v>1.0055628592940702</c:v>
                </c:pt>
                <c:pt idx="38">
                  <c:v>1.3159502632254261</c:v>
                </c:pt>
                <c:pt idx="39">
                  <c:v>1.6055843453951353</c:v>
                </c:pt>
                <c:pt idx="40">
                  <c:v>1.8698974033083637</c:v>
                </c:pt>
                <c:pt idx="41">
                  <c:v>2.1047210621488577</c:v>
                </c:pt>
                <c:pt idx="42">
                  <c:v>2.3063520125398442</c:v>
                </c:pt>
                <c:pt idx="43">
                  <c:v>2.471610413945168</c:v>
                </c:pt>
                <c:pt idx="44">
                  <c:v>2.5978900426540812</c:v>
                </c:pt>
                <c:pt idx="45">
                  <c:v>2.683199393486051</c:v>
                </c:pt>
                <c:pt idx="46">
                  <c:v>2.7261930870171227</c:v>
                </c:pt>
                <c:pt idx="47">
                  <c:v>2.7261930870171227</c:v>
                </c:pt>
                <c:pt idx="48">
                  <c:v>2.683199393486051</c:v>
                </c:pt>
                <c:pt idx="49">
                  <c:v>2.5978900426540812</c:v>
                </c:pt>
                <c:pt idx="50">
                  <c:v>2.471610413945168</c:v>
                </c:pt>
                <c:pt idx="51">
                  <c:v>2.3063520125398442</c:v>
                </c:pt>
                <c:pt idx="52">
                  <c:v>2.1047210621488599</c:v>
                </c:pt>
                <c:pt idx="53">
                  <c:v>1.8698974033083662</c:v>
                </c:pt>
                <c:pt idx="54">
                  <c:v>1.6055843453951353</c:v>
                </c:pt>
                <c:pt idx="55">
                  <c:v>1.3159502632254287</c:v>
                </c:pt>
                <c:pt idx="56">
                  <c:v>1.0055628592940702</c:v>
                </c:pt>
                <c:pt idx="57">
                  <c:v>0.67931712837751113</c:v>
                </c:pt>
                <c:pt idx="58">
                  <c:v>0.34235816054205742</c:v>
                </c:pt>
                <c:pt idx="59">
                  <c:v>6.6904493492492906E-16</c:v>
                </c:pt>
                <c:pt idx="60">
                  <c:v>0.34235816054205476</c:v>
                </c:pt>
                <c:pt idx="61">
                  <c:v>0.67931712837751113</c:v>
                </c:pt>
                <c:pt idx="62">
                  <c:v>1.0055628592940702</c:v>
                </c:pt>
                <c:pt idx="63">
                  <c:v>1.3159502632254261</c:v>
                </c:pt>
                <c:pt idx="64">
                  <c:v>1.6055843453951353</c:v>
                </c:pt>
                <c:pt idx="65">
                  <c:v>1.8698974033083662</c:v>
                </c:pt>
                <c:pt idx="66">
                  <c:v>2.1047210621488577</c:v>
                </c:pt>
                <c:pt idx="67">
                  <c:v>2.3063520125398442</c:v>
                </c:pt>
                <c:pt idx="68">
                  <c:v>2.4716104139451653</c:v>
                </c:pt>
                <c:pt idx="69">
                  <c:v>2.5978900426540781</c:v>
                </c:pt>
                <c:pt idx="70">
                  <c:v>2.683199393486051</c:v>
                </c:pt>
                <c:pt idx="71">
                  <c:v>2.7261930870171227</c:v>
                </c:pt>
                <c:pt idx="72">
                  <c:v>2.7261930870171227</c:v>
                </c:pt>
                <c:pt idx="73">
                  <c:v>2.683199393486051</c:v>
                </c:pt>
                <c:pt idx="74">
                  <c:v>2.5978900426540812</c:v>
                </c:pt>
                <c:pt idx="75">
                  <c:v>2.4716104139451653</c:v>
                </c:pt>
                <c:pt idx="76">
                  <c:v>2.3063520125398442</c:v>
                </c:pt>
                <c:pt idx="77">
                  <c:v>2.1047210621488577</c:v>
                </c:pt>
                <c:pt idx="78">
                  <c:v>1.8698974033083637</c:v>
                </c:pt>
                <c:pt idx="79">
                  <c:v>1.6055843453951353</c:v>
                </c:pt>
                <c:pt idx="80">
                  <c:v>1.3159502632254261</c:v>
                </c:pt>
                <c:pt idx="81">
                  <c:v>1.0055628592940702</c:v>
                </c:pt>
                <c:pt idx="82">
                  <c:v>0.67931712837751113</c:v>
                </c:pt>
                <c:pt idx="83">
                  <c:v>0.34235816054205476</c:v>
                </c:pt>
                <c:pt idx="84">
                  <c:v>1.0035674023873924E-15</c:v>
                </c:pt>
                <c:pt idx="85">
                  <c:v>0.34235816054205198</c:v>
                </c:pt>
                <c:pt idx="86">
                  <c:v>0.67931712837751113</c:v>
                </c:pt>
                <c:pt idx="87">
                  <c:v>1.0055628592940675</c:v>
                </c:pt>
                <c:pt idx="88">
                  <c:v>1.3159502632254287</c:v>
                </c:pt>
                <c:pt idx="89">
                  <c:v>1.6055843453951353</c:v>
                </c:pt>
                <c:pt idx="90">
                  <c:v>1.8698974033083637</c:v>
                </c:pt>
                <c:pt idx="91">
                  <c:v>2.1047210621488546</c:v>
                </c:pt>
                <c:pt idx="92">
                  <c:v>2.3063520125398465</c:v>
                </c:pt>
                <c:pt idx="93">
                  <c:v>2.471610413945168</c:v>
                </c:pt>
                <c:pt idx="94">
                  <c:v>2.5978900426540781</c:v>
                </c:pt>
                <c:pt idx="95">
                  <c:v>2.6831993934860483</c:v>
                </c:pt>
                <c:pt idx="96">
                  <c:v>2.72619308701712</c:v>
                </c:pt>
                <c:pt idx="97">
                  <c:v>2.7261930870171227</c:v>
                </c:pt>
                <c:pt idx="98">
                  <c:v>2.683199393486051</c:v>
                </c:pt>
                <c:pt idx="99">
                  <c:v>2.5978900426540812</c:v>
                </c:pt>
                <c:pt idx="100">
                  <c:v>2.471610413945168</c:v>
                </c:pt>
                <c:pt idx="101">
                  <c:v>2.3063520125398465</c:v>
                </c:pt>
                <c:pt idx="102">
                  <c:v>2.1047210621488599</c:v>
                </c:pt>
                <c:pt idx="103">
                  <c:v>1.8698974033083662</c:v>
                </c:pt>
                <c:pt idx="104">
                  <c:v>1.6055843453951353</c:v>
                </c:pt>
                <c:pt idx="105">
                  <c:v>1.3159502632254287</c:v>
                </c:pt>
                <c:pt idx="106">
                  <c:v>1.0055628592940702</c:v>
                </c:pt>
                <c:pt idx="107">
                  <c:v>0.67931712837751401</c:v>
                </c:pt>
                <c:pt idx="108">
                  <c:v>0.34235816054205476</c:v>
                </c:pt>
                <c:pt idx="109">
                  <c:v>1.3380898698498554E-15</c:v>
                </c:pt>
              </c:numCache>
            </c:numRef>
          </c:yVal>
          <c:smooth val="0"/>
          <c:extLst>
            <c:ext xmlns:c16="http://schemas.microsoft.com/office/drawing/2014/chart" uri="{C3380CC4-5D6E-409C-BE32-E72D297353CC}">
              <c16:uniqueId val="{00000001-ABBB-4979-B402-119CB64D2BAB}"/>
            </c:ext>
          </c:extLst>
        </c:ser>
        <c:dLbls>
          <c:showLegendKey val="0"/>
          <c:showVal val="0"/>
          <c:showCatName val="0"/>
          <c:showSerName val="0"/>
          <c:showPercent val="0"/>
          <c:showBubbleSize val="0"/>
        </c:dLbls>
        <c:axId val="142709120"/>
        <c:axId val="142710656"/>
      </c:scatterChart>
      <c:valAx>
        <c:axId val="142705408"/>
        <c:scaling>
          <c:orientation val="minMax"/>
          <c:max val="100"/>
        </c:scaling>
        <c:delete val="0"/>
        <c:axPos val="b"/>
        <c:numFmt formatCode="General" sourceLinked="1"/>
        <c:majorTickMark val="out"/>
        <c:minorTickMark val="none"/>
        <c:tickLblPos val="nextTo"/>
        <c:spPr>
          <a:ln w="3175" cap="flat" cmpd="sng" algn="ctr">
            <a:solidFill>
              <a:srgbClr val="000000"/>
            </a:solidFill>
            <a:prstDash val="solid"/>
            <a:round/>
          </a:ln>
        </c:spPr>
        <c:txPr>
          <a:bodyPr rot="0" spcFirstLastPara="0" vertOverflow="ellipsis" vert="horz" wrap="square" anchor="ctr" anchorCtr="1"/>
          <a:lstStyle/>
          <a:p>
            <a:pPr>
              <a:defRPr lang="zh-CN" sz="800" b="0" i="0" u="none" strike="noStrike" kern="1200" baseline="0">
                <a:solidFill>
                  <a:srgbClr val="000000"/>
                </a:solidFill>
                <a:latin typeface="Arial" panose="020B0604020202020204"/>
                <a:ea typeface="Arial" panose="020B0604020202020204"/>
                <a:cs typeface="Arial" panose="020B0604020202020204"/>
              </a:defRPr>
            </a:pPr>
            <a:endParaRPr lang="zh-CN"/>
          </a:p>
        </c:txPr>
        <c:crossAx val="142706944"/>
        <c:crosses val="autoZero"/>
        <c:crossBetween val="midCat"/>
      </c:valAx>
      <c:valAx>
        <c:axId val="142706944"/>
        <c:scaling>
          <c:orientation val="minMax"/>
        </c:scaling>
        <c:delete val="0"/>
        <c:axPos val="l"/>
        <c:majorGridlines>
          <c:spPr>
            <a:ln w="3175" cap="flat" cmpd="sng" algn="ctr">
              <a:solidFill>
                <a:srgbClr val="000000"/>
              </a:solidFill>
              <a:prstDash val="solid"/>
              <a:round/>
            </a:ln>
          </c:spPr>
        </c:majorGridlines>
        <c:title>
          <c:tx>
            <c:rich>
              <a:bodyPr rot="-5400000" spcFirstLastPara="0" vertOverflow="ellipsis" vert="horz" wrap="square" anchor="ctr" anchorCtr="1"/>
              <a:lstStyle/>
              <a:p>
                <a:pPr>
                  <a:defRPr lang="zh-CN" sz="800" b="1" i="0" u="none" strike="noStrike" kern="1200" baseline="0">
                    <a:solidFill>
                      <a:srgbClr val="000000"/>
                    </a:solidFill>
                    <a:latin typeface="Arial" panose="020B0604020202020204"/>
                    <a:ea typeface="Arial" panose="020B0604020202020204"/>
                    <a:cs typeface="Arial" panose="020B0604020202020204"/>
                  </a:defRPr>
                </a:pPr>
                <a:r>
                  <a:rPr lang="en-US"/>
                  <a:t>Vin (V)</a:t>
                </a:r>
              </a:p>
            </c:rich>
          </c:tx>
          <c:layout>
            <c:manualLayout>
              <c:xMode val="edge"/>
              <c:yMode val="edge"/>
              <c:x val="2.1248367530357099E-2"/>
              <c:y val="0.434540389972145"/>
            </c:manualLayout>
          </c:layout>
          <c:overlay val="0"/>
          <c:spPr>
            <a:noFill/>
            <a:ln w="25400">
              <a:noFill/>
            </a:ln>
          </c:spPr>
        </c:title>
        <c:numFmt formatCode="General" sourceLinked="1"/>
        <c:majorTickMark val="out"/>
        <c:minorTickMark val="none"/>
        <c:tickLblPos val="nextTo"/>
        <c:spPr>
          <a:ln w="3175" cap="flat" cmpd="sng" algn="ctr">
            <a:solidFill>
              <a:srgbClr val="000000"/>
            </a:solidFill>
            <a:prstDash val="solid"/>
            <a:round/>
          </a:ln>
        </c:spPr>
        <c:txPr>
          <a:bodyPr rot="0" spcFirstLastPara="0" vertOverflow="ellipsis" vert="horz" wrap="square" anchor="ctr" anchorCtr="1"/>
          <a:lstStyle/>
          <a:p>
            <a:pPr>
              <a:defRPr lang="zh-CN" sz="800" b="0" i="0" u="none" strike="noStrike" kern="1200" baseline="0">
                <a:solidFill>
                  <a:srgbClr val="000000"/>
                </a:solidFill>
                <a:latin typeface="Arial" panose="020B0604020202020204"/>
                <a:ea typeface="Arial" panose="020B0604020202020204"/>
                <a:cs typeface="Arial" panose="020B0604020202020204"/>
              </a:defRPr>
            </a:pPr>
            <a:endParaRPr lang="zh-CN"/>
          </a:p>
        </c:txPr>
        <c:crossAx val="142705408"/>
        <c:crosses val="autoZero"/>
        <c:crossBetween val="midCat"/>
      </c:valAx>
      <c:valAx>
        <c:axId val="142709120"/>
        <c:scaling>
          <c:orientation val="minMax"/>
        </c:scaling>
        <c:delete val="1"/>
        <c:axPos val="b"/>
        <c:numFmt formatCode="General" sourceLinked="1"/>
        <c:majorTickMark val="out"/>
        <c:minorTickMark val="none"/>
        <c:tickLblPos val="none"/>
        <c:crossAx val="142710656"/>
        <c:crosses val="autoZero"/>
        <c:crossBetween val="midCat"/>
      </c:valAx>
      <c:valAx>
        <c:axId val="142710656"/>
        <c:scaling>
          <c:orientation val="minMax"/>
        </c:scaling>
        <c:delete val="0"/>
        <c:axPos val="r"/>
        <c:title>
          <c:tx>
            <c:rich>
              <a:bodyPr rot="5400000" spcFirstLastPara="0" vertOverflow="ellipsis" vert="horz" wrap="square" anchor="ctr" anchorCtr="1"/>
              <a:lstStyle/>
              <a:p>
                <a:pPr algn="ctr">
                  <a:defRPr lang="zh-CN" sz="825" b="1" i="0" u="none" strike="noStrike" kern="1200" baseline="0">
                    <a:solidFill>
                      <a:srgbClr val="000000"/>
                    </a:solidFill>
                    <a:latin typeface="Arial" panose="020B0604020202020204"/>
                    <a:ea typeface="Arial" panose="020B0604020202020204"/>
                    <a:cs typeface="Arial" panose="020B0604020202020204"/>
                  </a:defRPr>
                </a:pPr>
                <a:r>
                  <a:rPr lang="en-US"/>
                  <a:t>Iin (A)</a:t>
                </a:r>
              </a:p>
            </c:rich>
          </c:tx>
          <c:layout>
            <c:manualLayout>
              <c:xMode val="edge"/>
              <c:yMode val="edge"/>
              <c:x val="0.95219246995412898"/>
              <c:y val="0.440111420612813"/>
            </c:manualLayout>
          </c:layout>
          <c:overlay val="0"/>
          <c:spPr>
            <a:noFill/>
            <a:ln w="25400">
              <a:noFill/>
            </a:ln>
          </c:spPr>
        </c:title>
        <c:numFmt formatCode="General" sourceLinked="1"/>
        <c:majorTickMark val="cross"/>
        <c:minorTickMark val="none"/>
        <c:tickLblPos val="nextTo"/>
        <c:spPr>
          <a:ln w="3175" cap="flat" cmpd="sng" algn="ctr">
            <a:solidFill>
              <a:srgbClr val="000000"/>
            </a:solidFill>
            <a:prstDash val="solid"/>
            <a:round/>
          </a:ln>
        </c:spPr>
        <c:txPr>
          <a:bodyPr rot="0" spcFirstLastPara="0" vertOverflow="ellipsis" vert="horz" wrap="square" anchor="ctr" anchorCtr="1"/>
          <a:lstStyle/>
          <a:p>
            <a:pPr>
              <a:defRPr lang="zh-CN" sz="800" b="0" i="0" u="none" strike="noStrike" kern="1200" baseline="0">
                <a:solidFill>
                  <a:srgbClr val="000000"/>
                </a:solidFill>
                <a:latin typeface="Arial" panose="020B0604020202020204"/>
                <a:ea typeface="Arial" panose="020B0604020202020204"/>
                <a:cs typeface="Arial" panose="020B0604020202020204"/>
              </a:defRPr>
            </a:pPr>
            <a:endParaRPr lang="zh-CN"/>
          </a:p>
        </c:txPr>
        <c:crossAx val="142709120"/>
        <c:crosses val="max"/>
        <c:crossBetween val="midCat"/>
      </c:valAx>
      <c:spPr>
        <a:gradFill rotWithShape="0">
          <a:gsLst>
            <a:gs pos="0">
              <a:srgbClr val="FFFFFF"/>
            </a:gs>
            <a:gs pos="100000">
              <a:srgbClr val="FFFFCC"/>
            </a:gs>
          </a:gsLst>
          <a:lin ang="5400000" scaled="1"/>
        </a:gradFill>
        <a:ln w="12700">
          <a:solidFill>
            <a:srgbClr val="808080"/>
          </a:solidFill>
          <a:prstDash val="solid"/>
        </a:ln>
      </c:spPr>
    </c:plotArea>
    <c:legend>
      <c:legendPos val="b"/>
      <c:layout>
        <c:manualLayout>
          <c:xMode val="edge"/>
          <c:yMode val="edge"/>
          <c:x val="0.43559153437232101"/>
          <c:y val="0.91922005571030596"/>
          <c:w val="0.134130320035379"/>
          <c:h val="6.12813370473538E-2"/>
        </c:manualLayout>
      </c:layout>
      <c:overlay val="0"/>
      <c:spPr>
        <a:solidFill>
          <a:srgbClr val="FFFFFF"/>
        </a:solidFill>
        <a:ln w="3175">
          <a:solidFill>
            <a:srgbClr val="000000"/>
          </a:solidFill>
          <a:prstDash val="solid"/>
        </a:ln>
      </c:spPr>
      <c:txPr>
        <a:bodyPr rot="0" spcFirstLastPara="0" vertOverflow="ellipsis" vert="horz" wrap="square" anchor="ctr" anchorCtr="1"/>
        <a:lstStyle/>
        <a:p>
          <a:pPr>
            <a:defRPr lang="zh-CN" sz="735" b="0" i="0" u="none" strike="noStrike" kern="1200" baseline="0">
              <a:solidFill>
                <a:srgbClr val="000000"/>
              </a:solidFill>
              <a:latin typeface="Arial" panose="020B0604020202020204"/>
              <a:ea typeface="Arial" panose="020B0604020202020204"/>
              <a:cs typeface="Arial" panose="020B0604020202020204"/>
            </a:defRPr>
          </a:pPr>
          <a:endParaRPr lang="zh-CN"/>
        </a:p>
      </c:txPr>
    </c:legend>
    <c:plotVisOnly val="1"/>
    <c:dispBlanksAs val="gap"/>
    <c:showDLblsOverMax val="0"/>
    <c:extLst>
      <c:ext uri="{0b15fc19-7d7d-44ad-8c2d-2c3a37ce22c3}">
        <chartProps xmlns="https://web.wps.cn/et/2018/main" chartId="{0e09e285-bada-4425-8f24-86b475832e57}"/>
      </c:ext>
    </c:extLst>
  </c:chart>
  <c:spPr>
    <a:solidFill>
      <a:srgbClr val="FFFFFF"/>
    </a:solidFill>
    <a:ln w="3175" cap="flat" cmpd="sng" algn="ctr">
      <a:solidFill>
        <a:srgbClr val="000000"/>
      </a:solidFill>
      <a:prstDash val="solid"/>
      <a:round/>
    </a:ln>
  </c:spPr>
  <c:txPr>
    <a:bodyPr/>
    <a:lstStyle/>
    <a:p>
      <a:pPr>
        <a:defRPr lang="zh-CN" sz="800" b="0" i="0" u="none" strike="noStrike" baseline="0">
          <a:solidFill>
            <a:srgbClr val="000000"/>
          </a:solidFill>
          <a:latin typeface="Arial" panose="020B0604020202020204"/>
          <a:ea typeface="Arial" panose="020B0604020202020204"/>
          <a:cs typeface="Arial" panose="020B0604020202020204"/>
        </a:defRPr>
      </a:pPr>
      <a:endParaRPr lang="zh-CN"/>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200" b="1" i="0" u="none" strike="noStrike" kern="1200" baseline="0">
                <a:solidFill>
                  <a:srgbClr val="000000"/>
                </a:solidFill>
                <a:latin typeface="Arial" panose="020B0604020202020204"/>
                <a:ea typeface="Arial" panose="020B0604020202020204"/>
                <a:cs typeface="Arial" panose="020B0604020202020204"/>
              </a:defRPr>
            </a:pPr>
            <a:r>
              <a:rPr lang="en-US"/>
              <a:t>Voltage Open-Loop Bode Plot</a:t>
            </a:r>
          </a:p>
        </c:rich>
      </c:tx>
      <c:layout>
        <c:manualLayout>
          <c:xMode val="edge"/>
          <c:yMode val="edge"/>
          <c:x val="0.34661399533895099"/>
          <c:y val="2.9013567053734601E-2"/>
        </c:manualLayout>
      </c:layout>
      <c:overlay val="0"/>
      <c:spPr>
        <a:noFill/>
        <a:ln w="25400">
          <a:noFill/>
        </a:ln>
      </c:spPr>
    </c:title>
    <c:autoTitleDeleted val="0"/>
    <c:plotArea>
      <c:layout>
        <c:manualLayout>
          <c:layoutTarget val="inner"/>
          <c:xMode val="edge"/>
          <c:yMode val="edge"/>
          <c:x val="0.107569860622433"/>
          <c:y val="0.14700207307225499"/>
          <c:w val="0.78618959862321403"/>
          <c:h val="0.65957509102156697"/>
        </c:manualLayout>
      </c:layout>
      <c:scatterChart>
        <c:scatterStyle val="smoothMarker"/>
        <c:varyColors val="0"/>
        <c:ser>
          <c:idx val="0"/>
          <c:order val="0"/>
          <c:tx>
            <c:v>Total Open Loop Gain</c:v>
          </c:tx>
          <c:spPr>
            <a:ln w="38100" cap="rnd" cmpd="sng" algn="ctr">
              <a:solidFill>
                <a:srgbClr val="FF0000"/>
              </a:solidFill>
              <a:prstDash val="solid"/>
              <a:round/>
            </a:ln>
          </c:spPr>
          <c:marker>
            <c:symbol val="none"/>
          </c:marker>
          <c:xVal>
            <c:numRef>
              <c:f>data!$H$205:$H$255</c:f>
              <c:numCache>
                <c:formatCode>0.000</c:formatCode>
                <c:ptCount val="51"/>
                <c:pt idx="0">
                  <c:v>0.01</c:v>
                </c:pt>
                <c:pt idx="1">
                  <c:v>1.2589254117941699E-2</c:v>
                </c:pt>
                <c:pt idx="2">
                  <c:v>1.58489319246111E-2</c:v>
                </c:pt>
                <c:pt idx="3">
                  <c:v>1.9952623149688799E-2</c:v>
                </c:pt>
                <c:pt idx="4">
                  <c:v>2.5118864315095801E-2</c:v>
                </c:pt>
                <c:pt idx="5">
                  <c:v>3.1622776601683798E-2</c:v>
                </c:pt>
                <c:pt idx="6">
                  <c:v>3.9810717055349699E-2</c:v>
                </c:pt>
                <c:pt idx="7">
                  <c:v>5.0118723362727199E-2</c:v>
                </c:pt>
                <c:pt idx="8">
                  <c:v>6.3095734448019303E-2</c:v>
                </c:pt>
                <c:pt idx="9">
                  <c:v>7.9432823472428096E-2</c:v>
                </c:pt>
                <c:pt idx="10">
                  <c:v>0.1</c:v>
                </c:pt>
                <c:pt idx="11">
                  <c:v>0.12589254117941701</c:v>
                </c:pt>
                <c:pt idx="12">
                  <c:v>0.15848931924611101</c:v>
                </c:pt>
                <c:pt idx="13">
                  <c:v>0.199526231496888</c:v>
                </c:pt>
                <c:pt idx="14">
                  <c:v>0.25118864315095801</c:v>
                </c:pt>
                <c:pt idx="15">
                  <c:v>0.316227766016838</c:v>
                </c:pt>
                <c:pt idx="16">
                  <c:v>0.39810717055349698</c:v>
                </c:pt>
                <c:pt idx="17">
                  <c:v>0.50118723362727202</c:v>
                </c:pt>
                <c:pt idx="18">
                  <c:v>0.63095734448019303</c:v>
                </c:pt>
                <c:pt idx="19">
                  <c:v>0.79432823472428105</c:v>
                </c:pt>
                <c:pt idx="20">
                  <c:v>1</c:v>
                </c:pt>
                <c:pt idx="21">
                  <c:v>1.2589254117941699</c:v>
                </c:pt>
                <c:pt idx="22">
                  <c:v>1.58489319246111</c:v>
                </c:pt>
                <c:pt idx="23">
                  <c:v>1.99526231496888</c:v>
                </c:pt>
                <c:pt idx="24">
                  <c:v>2.5118864315095801</c:v>
                </c:pt>
                <c:pt idx="25">
                  <c:v>3.16227766016838</c:v>
                </c:pt>
                <c:pt idx="26">
                  <c:v>3.98107170553497</c:v>
                </c:pt>
                <c:pt idx="27">
                  <c:v>5.0118723362727202</c:v>
                </c:pt>
                <c:pt idx="28">
                  <c:v>6.3095734448019298</c:v>
                </c:pt>
                <c:pt idx="29">
                  <c:v>7.9432823472428202</c:v>
                </c:pt>
                <c:pt idx="30">
                  <c:v>10</c:v>
                </c:pt>
                <c:pt idx="31">
                  <c:v>12.589254117941699</c:v>
                </c:pt>
                <c:pt idx="32">
                  <c:v>15.848931924611099</c:v>
                </c:pt>
                <c:pt idx="33">
                  <c:v>19.952623149688801</c:v>
                </c:pt>
                <c:pt idx="34">
                  <c:v>25.118864315095799</c:v>
                </c:pt>
                <c:pt idx="35">
                  <c:v>31.6227766016838</c:v>
                </c:pt>
                <c:pt idx="36">
                  <c:v>39.810717055349699</c:v>
                </c:pt>
                <c:pt idx="37">
                  <c:v>50.118723362727202</c:v>
                </c:pt>
                <c:pt idx="38">
                  <c:v>63.0957344480193</c:v>
                </c:pt>
                <c:pt idx="39">
                  <c:v>79.432823472428097</c:v>
                </c:pt>
                <c:pt idx="40">
                  <c:v>100</c:v>
                </c:pt>
                <c:pt idx="41">
                  <c:v>125.89254117941699</c:v>
                </c:pt>
                <c:pt idx="42">
                  <c:v>158.48931924611099</c:v>
                </c:pt>
                <c:pt idx="43">
                  <c:v>199.52623149688799</c:v>
                </c:pt>
                <c:pt idx="44">
                  <c:v>251.188643150958</c:v>
                </c:pt>
                <c:pt idx="45">
                  <c:v>316.22776601683802</c:v>
                </c:pt>
                <c:pt idx="46">
                  <c:v>398.10717055349699</c:v>
                </c:pt>
                <c:pt idx="47">
                  <c:v>501.18723362727201</c:v>
                </c:pt>
                <c:pt idx="48">
                  <c:v>630.957344480193</c:v>
                </c:pt>
                <c:pt idx="49">
                  <c:v>794.32823472428095</c:v>
                </c:pt>
                <c:pt idx="50">
                  <c:v>1000</c:v>
                </c:pt>
              </c:numCache>
            </c:numRef>
          </c:xVal>
          <c:yVal>
            <c:numRef>
              <c:f>data!$N$205:$N$255</c:f>
              <c:numCache>
                <c:formatCode>General</c:formatCode>
                <c:ptCount val="51"/>
                <c:pt idx="0">
                  <c:v>22.642181029086984</c:v>
                </c:pt>
                <c:pt idx="1">
                  <c:v>22.641954977706614</c:v>
                </c:pt>
                <c:pt idx="2">
                  <c:v>22.641596734512394</c:v>
                </c:pt>
                <c:pt idx="3">
                  <c:v>22.641029017837457</c:v>
                </c:pt>
                <c:pt idx="4">
                  <c:v>22.640129399533414</c:v>
                </c:pt>
                <c:pt idx="5">
                  <c:v>22.638703982217546</c:v>
                </c:pt>
                <c:pt idx="6">
                  <c:v>22.636445805904287</c:v>
                </c:pt>
                <c:pt idx="7">
                  <c:v>22.632869241061201</c:v>
                </c:pt>
                <c:pt idx="8">
                  <c:v>22.627206794269203</c:v>
                </c:pt>
                <c:pt idx="9">
                  <c:v>22.61824751649597</c:v>
                </c:pt>
                <c:pt idx="10">
                  <c:v>22.604085769379559</c:v>
                </c:pt>
                <c:pt idx="11">
                  <c:v>22.581735079827286</c:v>
                </c:pt>
                <c:pt idx="12">
                  <c:v>22.546545570789792</c:v>
                </c:pt>
                <c:pt idx="13">
                  <c:v>22.491351516709372</c:v>
                </c:pt>
                <c:pt idx="14">
                  <c:v>22.405286794322279</c:v>
                </c:pt>
                <c:pt idx="15">
                  <c:v>22.272283648361014</c:v>
                </c:pt>
                <c:pt idx="16">
                  <c:v>22.069492170758075</c:v>
                </c:pt>
                <c:pt idx="17">
                  <c:v>21.766310924695521</c:v>
                </c:pt>
                <c:pt idx="18">
                  <c:v>21.325353123650022</c:v>
                </c:pt>
                <c:pt idx="19">
                  <c:v>20.706980515967402</c:v>
                </c:pt>
                <c:pt idx="20">
                  <c:v>19.877920149009313</c:v>
                </c:pt>
                <c:pt idx="21">
                  <c:v>18.821360726053953</c:v>
                </c:pt>
                <c:pt idx="22">
                  <c:v>17.543004498624054</c:v>
                </c:pt>
                <c:pt idx="23">
                  <c:v>16.068944523051911</c:v>
                </c:pt>
                <c:pt idx="24">
                  <c:v>14.436874528228254</c:v>
                </c:pt>
                <c:pt idx="25">
                  <c:v>12.686159564228054</c:v>
                </c:pt>
                <c:pt idx="26">
                  <c:v>10.851144081949862</c:v>
                </c:pt>
                <c:pt idx="27">
                  <c:v>8.958562407484326</c:v>
                </c:pt>
                <c:pt idx="28">
                  <c:v>7.0277318453871773</c:v>
                </c:pt>
                <c:pt idx="29">
                  <c:v>5.0719485393286998</c:v>
                </c:pt>
                <c:pt idx="30">
                  <c:v>3.1000808129181276</c:v>
                </c:pt>
                <c:pt idx="31">
                  <c:v>1.1179253022626594</c:v>
                </c:pt>
                <c:pt idx="32">
                  <c:v>-0.87077774323889412</c:v>
                </c:pt>
                <c:pt idx="33">
                  <c:v>-2.8636346971381794</c:v>
                </c:pt>
                <c:pt idx="34">
                  <c:v>-4.859121687248205</c:v>
                </c:pt>
                <c:pt idx="35">
                  <c:v>-6.8562717556005248</c:v>
                </c:pt>
                <c:pt idx="36">
                  <c:v>-8.8544726075493081</c:v>
                </c:pt>
                <c:pt idx="37">
                  <c:v>-10.853337038255637</c:v>
                </c:pt>
                <c:pt idx="38">
                  <c:v>-12.852620389663352</c:v>
                </c:pt>
                <c:pt idx="39">
                  <c:v>-14.852168154115793</c:v>
                </c:pt>
                <c:pt idx="40">
                  <c:v>-16.851882788543573</c:v>
                </c:pt>
                <c:pt idx="41">
                  <c:v>-18.851702725391483</c:v>
                </c:pt>
                <c:pt idx="42">
                  <c:v>-20.851589109381866</c:v>
                </c:pt>
                <c:pt idx="43">
                  <c:v>-22.851517420996721</c:v>
                </c:pt>
                <c:pt idx="44">
                  <c:v>-24.851472188074734</c:v>
                </c:pt>
                <c:pt idx="45">
                  <c:v>-26.851443647787971</c:v>
                </c:pt>
                <c:pt idx="46">
                  <c:v>-28.851425639987912</c:v>
                </c:pt>
                <c:pt idx="47">
                  <c:v>-30.851414277795797</c:v>
                </c:pt>
                <c:pt idx="48">
                  <c:v>-32.851407108721943</c:v>
                </c:pt>
                <c:pt idx="49">
                  <c:v>-34.851402585336025</c:v>
                </c:pt>
                <c:pt idx="50">
                  <c:v>-36.851399731270057</c:v>
                </c:pt>
              </c:numCache>
            </c:numRef>
          </c:yVal>
          <c:smooth val="1"/>
          <c:extLst>
            <c:ext xmlns:c16="http://schemas.microsoft.com/office/drawing/2014/chart" uri="{C3380CC4-5D6E-409C-BE32-E72D297353CC}">
              <c16:uniqueId val="{00000000-0121-47AD-87C3-FCE67B77171C}"/>
            </c:ext>
          </c:extLst>
        </c:ser>
        <c:ser>
          <c:idx val="1"/>
          <c:order val="1"/>
          <c:tx>
            <c:v>PWM_PS Gain</c:v>
          </c:tx>
          <c:spPr>
            <a:ln w="25400" cap="rnd" cmpd="sng" algn="ctr">
              <a:solidFill>
                <a:srgbClr val="993300"/>
              </a:solidFill>
              <a:prstDash val="solid"/>
              <a:round/>
            </a:ln>
          </c:spPr>
          <c:marker>
            <c:symbol val="none"/>
          </c:marker>
          <c:xVal>
            <c:numRef>
              <c:f>data!$H$205:$H$255</c:f>
              <c:numCache>
                <c:formatCode>0.000</c:formatCode>
                <c:ptCount val="51"/>
                <c:pt idx="0">
                  <c:v>0.01</c:v>
                </c:pt>
                <c:pt idx="1">
                  <c:v>1.2589254117941699E-2</c:v>
                </c:pt>
                <c:pt idx="2">
                  <c:v>1.58489319246111E-2</c:v>
                </c:pt>
                <c:pt idx="3">
                  <c:v>1.9952623149688799E-2</c:v>
                </c:pt>
                <c:pt idx="4">
                  <c:v>2.5118864315095801E-2</c:v>
                </c:pt>
                <c:pt idx="5">
                  <c:v>3.1622776601683798E-2</c:v>
                </c:pt>
                <c:pt idx="6">
                  <c:v>3.9810717055349699E-2</c:v>
                </c:pt>
                <c:pt idx="7">
                  <c:v>5.0118723362727199E-2</c:v>
                </c:pt>
                <c:pt idx="8">
                  <c:v>6.3095734448019303E-2</c:v>
                </c:pt>
                <c:pt idx="9">
                  <c:v>7.9432823472428096E-2</c:v>
                </c:pt>
                <c:pt idx="10">
                  <c:v>0.1</c:v>
                </c:pt>
                <c:pt idx="11">
                  <c:v>0.12589254117941701</c:v>
                </c:pt>
                <c:pt idx="12">
                  <c:v>0.15848931924611101</c:v>
                </c:pt>
                <c:pt idx="13">
                  <c:v>0.199526231496888</c:v>
                </c:pt>
                <c:pt idx="14">
                  <c:v>0.25118864315095801</c:v>
                </c:pt>
                <c:pt idx="15">
                  <c:v>0.316227766016838</c:v>
                </c:pt>
                <c:pt idx="16">
                  <c:v>0.39810717055349698</c:v>
                </c:pt>
                <c:pt idx="17">
                  <c:v>0.50118723362727202</c:v>
                </c:pt>
                <c:pt idx="18">
                  <c:v>0.63095734448019303</c:v>
                </c:pt>
                <c:pt idx="19">
                  <c:v>0.79432823472428105</c:v>
                </c:pt>
                <c:pt idx="20">
                  <c:v>1</c:v>
                </c:pt>
                <c:pt idx="21">
                  <c:v>1.2589254117941699</c:v>
                </c:pt>
                <c:pt idx="22">
                  <c:v>1.58489319246111</c:v>
                </c:pt>
                <c:pt idx="23">
                  <c:v>1.99526231496888</c:v>
                </c:pt>
                <c:pt idx="24">
                  <c:v>2.5118864315095801</c:v>
                </c:pt>
                <c:pt idx="25">
                  <c:v>3.16227766016838</c:v>
                </c:pt>
                <c:pt idx="26">
                  <c:v>3.98107170553497</c:v>
                </c:pt>
                <c:pt idx="27">
                  <c:v>5.0118723362727202</c:v>
                </c:pt>
                <c:pt idx="28">
                  <c:v>6.3095734448019298</c:v>
                </c:pt>
                <c:pt idx="29">
                  <c:v>7.9432823472428202</c:v>
                </c:pt>
                <c:pt idx="30">
                  <c:v>10</c:v>
                </c:pt>
                <c:pt idx="31">
                  <c:v>12.589254117941699</c:v>
                </c:pt>
                <c:pt idx="32">
                  <c:v>15.848931924611099</c:v>
                </c:pt>
                <c:pt idx="33">
                  <c:v>19.952623149688801</c:v>
                </c:pt>
                <c:pt idx="34">
                  <c:v>25.118864315095799</c:v>
                </c:pt>
                <c:pt idx="35">
                  <c:v>31.6227766016838</c:v>
                </c:pt>
                <c:pt idx="36">
                  <c:v>39.810717055349699</c:v>
                </c:pt>
                <c:pt idx="37">
                  <c:v>50.118723362727202</c:v>
                </c:pt>
                <c:pt idx="38">
                  <c:v>63.0957344480193</c:v>
                </c:pt>
                <c:pt idx="39">
                  <c:v>79.432823472428097</c:v>
                </c:pt>
                <c:pt idx="40">
                  <c:v>100</c:v>
                </c:pt>
                <c:pt idx="41">
                  <c:v>125.89254117941699</c:v>
                </c:pt>
                <c:pt idx="42">
                  <c:v>158.48931924611099</c:v>
                </c:pt>
                <c:pt idx="43">
                  <c:v>199.52623149688799</c:v>
                </c:pt>
                <c:pt idx="44">
                  <c:v>251.188643150958</c:v>
                </c:pt>
                <c:pt idx="45">
                  <c:v>316.22776601683802</c:v>
                </c:pt>
                <c:pt idx="46">
                  <c:v>398.10717055349699</c:v>
                </c:pt>
                <c:pt idx="47">
                  <c:v>501.18723362727201</c:v>
                </c:pt>
                <c:pt idx="48">
                  <c:v>630.957344480193</c:v>
                </c:pt>
                <c:pt idx="49">
                  <c:v>794.32823472428095</c:v>
                </c:pt>
                <c:pt idx="50">
                  <c:v>1000</c:v>
                </c:pt>
              </c:numCache>
            </c:numRef>
          </c:xVal>
          <c:yVal>
            <c:numRef>
              <c:f>data!$L$205:$L$255</c:f>
              <c:numCache>
                <c:formatCode>General</c:formatCode>
                <c:ptCount val="51"/>
                <c:pt idx="0">
                  <c:v>46.930906051725032</c:v>
                </c:pt>
                <c:pt idx="1">
                  <c:v>46.930680000344637</c:v>
                </c:pt>
                <c:pt idx="2">
                  <c:v>46.930321757150395</c:v>
                </c:pt>
                <c:pt idx="3">
                  <c:v>46.929754040475501</c:v>
                </c:pt>
                <c:pt idx="4">
                  <c:v>46.928854422171426</c:v>
                </c:pt>
                <c:pt idx="5">
                  <c:v>46.927429004855597</c:v>
                </c:pt>
                <c:pt idx="6">
                  <c:v>46.925170828542306</c:v>
                </c:pt>
                <c:pt idx="7">
                  <c:v>46.921594263699227</c:v>
                </c:pt>
                <c:pt idx="8">
                  <c:v>46.915931816907218</c:v>
                </c:pt>
                <c:pt idx="9">
                  <c:v>46.906972539133974</c:v>
                </c:pt>
                <c:pt idx="10">
                  <c:v>46.892810792017613</c:v>
                </c:pt>
                <c:pt idx="11">
                  <c:v>46.870460102465302</c:v>
                </c:pt>
                <c:pt idx="12">
                  <c:v>46.835270593427836</c:v>
                </c:pt>
                <c:pt idx="13">
                  <c:v>46.780076539347377</c:v>
                </c:pt>
                <c:pt idx="14">
                  <c:v>46.69401181696032</c:v>
                </c:pt>
                <c:pt idx="15">
                  <c:v>46.56100867099903</c:v>
                </c:pt>
                <c:pt idx="16">
                  <c:v>46.358217193396101</c:v>
                </c:pt>
                <c:pt idx="17">
                  <c:v>46.05503594733355</c:v>
                </c:pt>
                <c:pt idx="18">
                  <c:v>45.614078146288065</c:v>
                </c:pt>
                <c:pt idx="19">
                  <c:v>44.995705538605428</c:v>
                </c:pt>
                <c:pt idx="20">
                  <c:v>44.166645171647339</c:v>
                </c:pt>
                <c:pt idx="21">
                  <c:v>43.110085748691979</c:v>
                </c:pt>
                <c:pt idx="22">
                  <c:v>41.831729521262069</c:v>
                </c:pt>
                <c:pt idx="23">
                  <c:v>40.35766954568993</c:v>
                </c:pt>
                <c:pt idx="24">
                  <c:v>38.725599550866278</c:v>
                </c:pt>
                <c:pt idx="25">
                  <c:v>36.974884586866075</c:v>
                </c:pt>
                <c:pt idx="26">
                  <c:v>35.139869104587881</c:v>
                </c:pt>
                <c:pt idx="27">
                  <c:v>33.247287430122327</c:v>
                </c:pt>
                <c:pt idx="28">
                  <c:v>31.316456868025199</c:v>
                </c:pt>
                <c:pt idx="29">
                  <c:v>29.360673561966699</c:v>
                </c:pt>
                <c:pt idx="30">
                  <c:v>27.388805835556131</c:v>
                </c:pt>
                <c:pt idx="31">
                  <c:v>25.406650324900642</c:v>
                </c:pt>
                <c:pt idx="32">
                  <c:v>23.417947279399126</c:v>
                </c:pt>
                <c:pt idx="33">
                  <c:v>21.425090325499841</c:v>
                </c:pt>
                <c:pt idx="34">
                  <c:v>19.429603335389814</c:v>
                </c:pt>
                <c:pt idx="35">
                  <c:v>17.432453267037488</c:v>
                </c:pt>
                <c:pt idx="36">
                  <c:v>15.434252415088718</c:v>
                </c:pt>
                <c:pt idx="37">
                  <c:v>13.435387984382386</c:v>
                </c:pt>
                <c:pt idx="38">
                  <c:v>11.436104632974672</c:v>
                </c:pt>
                <c:pt idx="39">
                  <c:v>9.4365568685222119</c:v>
                </c:pt>
                <c:pt idx="40">
                  <c:v>7.4368422340944775</c:v>
                </c:pt>
                <c:pt idx="41">
                  <c:v>5.4370222972465481</c:v>
                </c:pt>
                <c:pt idx="42">
                  <c:v>3.4371359132561539</c:v>
                </c:pt>
                <c:pt idx="43">
                  <c:v>1.4372076016412962</c:v>
                </c:pt>
                <c:pt idx="44">
                  <c:v>-0.56274716543671122</c:v>
                </c:pt>
                <c:pt idx="45">
                  <c:v>-2.5627186251499494</c:v>
                </c:pt>
                <c:pt idx="46">
                  <c:v>-4.562700617349897</c:v>
                </c:pt>
                <c:pt idx="47">
                  <c:v>-6.5626892551577924</c:v>
                </c:pt>
                <c:pt idx="48">
                  <c:v>-8.5626820860839317</c:v>
                </c:pt>
                <c:pt idx="49">
                  <c:v>-10.562677562698015</c:v>
                </c:pt>
                <c:pt idx="50">
                  <c:v>-12.562674708632057</c:v>
                </c:pt>
              </c:numCache>
            </c:numRef>
          </c:yVal>
          <c:smooth val="1"/>
          <c:extLst>
            <c:ext xmlns:c16="http://schemas.microsoft.com/office/drawing/2014/chart" uri="{C3380CC4-5D6E-409C-BE32-E72D297353CC}">
              <c16:uniqueId val="{00000001-0121-47AD-87C3-FCE67B77171C}"/>
            </c:ext>
          </c:extLst>
        </c:ser>
        <c:dLbls>
          <c:showLegendKey val="0"/>
          <c:showVal val="0"/>
          <c:showCatName val="0"/>
          <c:showSerName val="0"/>
          <c:showPercent val="0"/>
          <c:showBubbleSize val="0"/>
        </c:dLbls>
        <c:axId val="144217216"/>
        <c:axId val="144219136"/>
      </c:scatterChart>
      <c:scatterChart>
        <c:scatterStyle val="lineMarker"/>
        <c:varyColors val="0"/>
        <c:ser>
          <c:idx val="2"/>
          <c:order val="2"/>
          <c:tx>
            <c:v>Total Open Loop Phase</c:v>
          </c:tx>
          <c:spPr>
            <a:ln w="38100" cap="rnd" cmpd="sng" algn="ctr">
              <a:solidFill>
                <a:srgbClr val="0000FF"/>
              </a:solidFill>
              <a:prstDash val="solid"/>
              <a:round/>
            </a:ln>
          </c:spPr>
          <c:marker>
            <c:symbol val="none"/>
          </c:marker>
          <c:xVal>
            <c:numRef>
              <c:f>data!$H$205:$H$255</c:f>
              <c:numCache>
                <c:formatCode>0.000</c:formatCode>
                <c:ptCount val="51"/>
                <c:pt idx="0">
                  <c:v>0.01</c:v>
                </c:pt>
                <c:pt idx="1">
                  <c:v>1.2589254117941699E-2</c:v>
                </c:pt>
                <c:pt idx="2">
                  <c:v>1.58489319246111E-2</c:v>
                </c:pt>
                <c:pt idx="3">
                  <c:v>1.9952623149688799E-2</c:v>
                </c:pt>
                <c:pt idx="4">
                  <c:v>2.5118864315095801E-2</c:v>
                </c:pt>
                <c:pt idx="5">
                  <c:v>3.1622776601683798E-2</c:v>
                </c:pt>
                <c:pt idx="6">
                  <c:v>3.9810717055349699E-2</c:v>
                </c:pt>
                <c:pt idx="7">
                  <c:v>5.0118723362727199E-2</c:v>
                </c:pt>
                <c:pt idx="8">
                  <c:v>6.3095734448019303E-2</c:v>
                </c:pt>
                <c:pt idx="9">
                  <c:v>7.9432823472428096E-2</c:v>
                </c:pt>
                <c:pt idx="10">
                  <c:v>0.1</c:v>
                </c:pt>
                <c:pt idx="11">
                  <c:v>0.12589254117941701</c:v>
                </c:pt>
                <c:pt idx="12">
                  <c:v>0.15848931924611101</c:v>
                </c:pt>
                <c:pt idx="13">
                  <c:v>0.199526231496888</c:v>
                </c:pt>
                <c:pt idx="14">
                  <c:v>0.25118864315095801</c:v>
                </c:pt>
                <c:pt idx="15">
                  <c:v>0.316227766016838</c:v>
                </c:pt>
                <c:pt idx="16">
                  <c:v>0.39810717055349698</c:v>
                </c:pt>
                <c:pt idx="17">
                  <c:v>0.50118723362727202</c:v>
                </c:pt>
                <c:pt idx="18">
                  <c:v>0.63095734448019303</c:v>
                </c:pt>
                <c:pt idx="19">
                  <c:v>0.79432823472428105</c:v>
                </c:pt>
                <c:pt idx="20">
                  <c:v>1</c:v>
                </c:pt>
                <c:pt idx="21">
                  <c:v>1.2589254117941699</c:v>
                </c:pt>
                <c:pt idx="22">
                  <c:v>1.58489319246111</c:v>
                </c:pt>
                <c:pt idx="23">
                  <c:v>1.99526231496888</c:v>
                </c:pt>
                <c:pt idx="24">
                  <c:v>2.5118864315095801</c:v>
                </c:pt>
                <c:pt idx="25">
                  <c:v>3.16227766016838</c:v>
                </c:pt>
                <c:pt idx="26">
                  <c:v>3.98107170553497</c:v>
                </c:pt>
                <c:pt idx="27">
                  <c:v>5.0118723362727202</c:v>
                </c:pt>
                <c:pt idx="28">
                  <c:v>6.3095734448019298</c:v>
                </c:pt>
                <c:pt idx="29">
                  <c:v>7.9432823472428202</c:v>
                </c:pt>
                <c:pt idx="30">
                  <c:v>10</c:v>
                </c:pt>
                <c:pt idx="31">
                  <c:v>12.589254117941699</c:v>
                </c:pt>
                <c:pt idx="32">
                  <c:v>15.848931924611099</c:v>
                </c:pt>
                <c:pt idx="33">
                  <c:v>19.952623149688801</c:v>
                </c:pt>
                <c:pt idx="34">
                  <c:v>25.118864315095799</c:v>
                </c:pt>
                <c:pt idx="35">
                  <c:v>31.6227766016838</c:v>
                </c:pt>
                <c:pt idx="36">
                  <c:v>39.810717055349699</c:v>
                </c:pt>
                <c:pt idx="37">
                  <c:v>50.118723362727202</c:v>
                </c:pt>
                <c:pt idx="38">
                  <c:v>63.0957344480193</c:v>
                </c:pt>
                <c:pt idx="39">
                  <c:v>79.432823472428097</c:v>
                </c:pt>
                <c:pt idx="40">
                  <c:v>100</c:v>
                </c:pt>
                <c:pt idx="41">
                  <c:v>125.89254117941699</c:v>
                </c:pt>
                <c:pt idx="42">
                  <c:v>158.48931924611099</c:v>
                </c:pt>
                <c:pt idx="43">
                  <c:v>199.52623149688799</c:v>
                </c:pt>
                <c:pt idx="44">
                  <c:v>251.188643150958</c:v>
                </c:pt>
                <c:pt idx="45">
                  <c:v>316.22776601683802</c:v>
                </c:pt>
                <c:pt idx="46">
                  <c:v>398.10717055349699</c:v>
                </c:pt>
                <c:pt idx="47">
                  <c:v>501.18723362727201</c:v>
                </c:pt>
                <c:pt idx="48">
                  <c:v>630.957344480193</c:v>
                </c:pt>
                <c:pt idx="49">
                  <c:v>794.32823472428095</c:v>
                </c:pt>
                <c:pt idx="50">
                  <c:v>1000</c:v>
                </c:pt>
              </c:numCache>
            </c:numRef>
          </c:xVal>
          <c:yVal>
            <c:numRef>
              <c:f>data!$O$205:$O$255</c:f>
              <c:numCache>
                <c:formatCode>General</c:formatCode>
                <c:ptCount val="51"/>
                <c:pt idx="0">
                  <c:v>-0.54051514625238883</c:v>
                </c:pt>
                <c:pt idx="1">
                  <c:v>-0.68045644681635176</c:v>
                </c:pt>
                <c:pt idx="2">
                  <c:v>-0.85662035783129387</c:v>
                </c:pt>
                <c:pt idx="3">
                  <c:v>-1.0783741449707103</c:v>
                </c:pt>
                <c:pt idx="4">
                  <c:v>-1.3574988726367267</c:v>
                </c:pt>
                <c:pt idx="5">
                  <c:v>-1.7088028476593868</c:v>
                </c:pt>
                <c:pt idx="6">
                  <c:v>-2.1508824451693607</c:v>
                </c:pt>
                <c:pt idx="7">
                  <c:v>-2.7070571671800936</c:v>
                </c:pt>
                <c:pt idx="8">
                  <c:v>-3.406501671684421</c:v>
                </c:pt>
                <c:pt idx="9">
                  <c:v>-4.285581730020632</c:v>
                </c:pt>
                <c:pt idx="10">
                  <c:v>-5.3893609180947424</c:v>
                </c:pt>
                <c:pt idx="11">
                  <c:v>-6.7731564953505199</c:v>
                </c:pt>
                <c:pt idx="12">
                  <c:v>-8.5038443698536987</c:v>
                </c:pt>
                <c:pt idx="13">
                  <c:v>-10.660277845194967</c:v>
                </c:pt>
                <c:pt idx="14">
                  <c:v>-13.331610310344253</c:v>
                </c:pt>
                <c:pt idx="15">
                  <c:v>-16.611463554640139</c:v>
                </c:pt>
                <c:pt idx="16">
                  <c:v>-20.584985798320393</c:v>
                </c:pt>
                <c:pt idx="17">
                  <c:v>-25.305837218817945</c:v>
                </c:pt>
                <c:pt idx="18">
                  <c:v>-30.763148695264636</c:v>
                </c:pt>
                <c:pt idx="19">
                  <c:v>-36.84690402597888</c:v>
                </c:pt>
                <c:pt idx="20">
                  <c:v>-43.331924961812362</c:v>
                </c:pt>
                <c:pt idx="21">
                  <c:v>-49.903285111944101</c:v>
                </c:pt>
                <c:pt idx="22">
                  <c:v>-56.225051935085553</c:v>
                </c:pt>
                <c:pt idx="23">
                  <c:v>-62.020365052746705</c:v>
                </c:pt>
                <c:pt idx="24">
                  <c:v>-67.120754734220398</c:v>
                </c:pt>
                <c:pt idx="25">
                  <c:v>-71.468932891429034</c:v>
                </c:pt>
                <c:pt idx="26">
                  <c:v>-75.090471156129382</c:v>
                </c:pt>
                <c:pt idx="27">
                  <c:v>-78.058158907923755</c:v>
                </c:pt>
                <c:pt idx="28">
                  <c:v>-80.463523779270616</c:v>
                </c:pt>
                <c:pt idx="29">
                  <c:v>-82.399077811811125</c:v>
                </c:pt>
                <c:pt idx="30">
                  <c:v>-83.949297078357233</c:v>
                </c:pt>
                <c:pt idx="31">
                  <c:v>-85.187160601891094</c:v>
                </c:pt>
                <c:pt idx="32">
                  <c:v>-86.173706991260133</c:v>
                </c:pt>
                <c:pt idx="33">
                  <c:v>-86.958999851533306</c:v>
                </c:pt>
                <c:pt idx="34">
                  <c:v>-87.583610604574318</c:v>
                </c:pt>
                <c:pt idx="35">
                  <c:v>-88.08017369836989</c:v>
                </c:pt>
                <c:pt idx="36">
                  <c:v>-88.474817139608319</c:v>
                </c:pt>
                <c:pt idx="37">
                  <c:v>-88.788398586383508</c:v>
                </c:pt>
                <c:pt idx="38">
                  <c:v>-89.037537846764437</c:v>
                </c:pt>
                <c:pt idx="39">
                  <c:v>-89.235462599108615</c:v>
                </c:pt>
                <c:pt idx="40">
                  <c:v>-89.39269305424591</c:v>
                </c:pt>
                <c:pt idx="41">
                  <c:v>-89.517592278760731</c:v>
                </c:pt>
                <c:pt idx="42">
                  <c:v>-89.616806584778388</c:v>
                </c:pt>
                <c:pt idx="43">
                  <c:v>-89.695616976122793</c:v>
                </c:pt>
                <c:pt idx="44">
                  <c:v>-89.758219130558501</c:v>
                </c:pt>
                <c:pt idx="45">
                  <c:v>-89.807946208083038</c:v>
                </c:pt>
                <c:pt idx="46">
                  <c:v>-89.847446039641966</c:v>
                </c:pt>
                <c:pt idx="47">
                  <c:v>-89.878821976291576</c:v>
                </c:pt>
                <c:pt idx="48">
                  <c:v>-89.903744821376193</c:v>
                </c:pt>
                <c:pt idx="49">
                  <c:v>-89.923541767335706</c:v>
                </c:pt>
                <c:pt idx="50">
                  <c:v>-89.939267053713621</c:v>
                </c:pt>
              </c:numCache>
            </c:numRef>
          </c:yVal>
          <c:smooth val="1"/>
          <c:extLst>
            <c:ext xmlns:c16="http://schemas.microsoft.com/office/drawing/2014/chart" uri="{C3380CC4-5D6E-409C-BE32-E72D297353CC}">
              <c16:uniqueId val="{00000002-0121-47AD-87C3-FCE67B77171C}"/>
            </c:ext>
          </c:extLst>
        </c:ser>
        <c:dLbls>
          <c:showLegendKey val="0"/>
          <c:showVal val="0"/>
          <c:showCatName val="0"/>
          <c:showSerName val="0"/>
          <c:showPercent val="0"/>
          <c:showBubbleSize val="0"/>
        </c:dLbls>
        <c:axId val="144225408"/>
        <c:axId val="144226944"/>
      </c:scatterChart>
      <c:valAx>
        <c:axId val="144217216"/>
        <c:scaling>
          <c:logBase val="10"/>
          <c:orientation val="minMax"/>
          <c:max val="1000"/>
          <c:min val="0.01"/>
        </c:scaling>
        <c:delete val="0"/>
        <c:axPos val="b"/>
        <c:majorGridlines>
          <c:spPr>
            <a:ln w="3175" cap="flat" cmpd="sng" algn="ctr">
              <a:solidFill>
                <a:srgbClr val="000000"/>
              </a:solidFill>
              <a:prstDash val="solid"/>
              <a:round/>
            </a:ln>
          </c:spPr>
        </c:majorGridlines>
        <c:minorGridlines>
          <c:spPr>
            <a:ln w="3175" cap="flat" cmpd="sng" algn="ctr">
              <a:solidFill>
                <a:srgbClr val="000000"/>
              </a:solidFill>
              <a:prstDash val="solid"/>
              <a:round/>
            </a:ln>
          </c:spPr>
        </c:minorGridlines>
        <c:title>
          <c:tx>
            <c:rich>
              <a:bodyPr rot="0" spcFirstLastPara="0" vertOverflow="ellipsis" vert="horz" wrap="square" anchor="ctr" anchorCtr="1"/>
              <a:lstStyle/>
              <a:p>
                <a:pPr>
                  <a:defRPr lang="zh-CN" sz="1050" b="1" i="0" u="none" strike="noStrike" kern="1200" baseline="0">
                    <a:solidFill>
                      <a:srgbClr val="000000"/>
                    </a:solidFill>
                    <a:latin typeface="Arial" panose="020B0604020202020204"/>
                    <a:ea typeface="Arial" panose="020B0604020202020204"/>
                    <a:cs typeface="Arial" panose="020B0604020202020204"/>
                  </a:defRPr>
                </a:pPr>
                <a:r>
                  <a:rPr lang="en-US"/>
                  <a:t>Frequency (Hz)</a:t>
                </a:r>
              </a:p>
            </c:rich>
          </c:tx>
          <c:layout>
            <c:manualLayout>
              <c:xMode val="edge"/>
              <c:yMode val="edge"/>
              <c:x val="0.42762339654843701"/>
              <c:y val="0.868472773808456"/>
            </c:manualLayout>
          </c:layout>
          <c:overlay val="0"/>
          <c:spPr>
            <a:noFill/>
            <a:ln w="25400">
              <a:noFill/>
            </a:ln>
          </c:spPr>
        </c:title>
        <c:numFmt formatCode="General" sourceLinked="0"/>
        <c:majorTickMark val="out"/>
        <c:minorTickMark val="none"/>
        <c:tickLblPos val="nextTo"/>
        <c:spPr>
          <a:ln w="3175" cap="flat" cmpd="sng" algn="ctr">
            <a:solidFill>
              <a:srgbClr val="000000"/>
            </a:solidFill>
            <a:prstDash val="solid"/>
            <a:round/>
          </a:ln>
        </c:spPr>
        <c:txPr>
          <a:bodyPr rot="0" spcFirstLastPara="0" vertOverflow="ellipsis" vert="horz" wrap="square" anchor="ctr" anchorCtr="1"/>
          <a:lstStyle/>
          <a:p>
            <a:pPr>
              <a:defRPr lang="zh-CN" sz="1050" b="0" i="0" u="none" strike="noStrike" kern="1200" baseline="0">
                <a:solidFill>
                  <a:srgbClr val="000000"/>
                </a:solidFill>
                <a:latin typeface="Arial" panose="020B0604020202020204"/>
                <a:ea typeface="Arial" panose="020B0604020202020204"/>
                <a:cs typeface="Arial" panose="020B0604020202020204"/>
              </a:defRPr>
            </a:pPr>
            <a:endParaRPr lang="zh-CN"/>
          </a:p>
        </c:txPr>
        <c:crossAx val="144219136"/>
        <c:crossesAt val="-100"/>
        <c:crossBetween val="midCat"/>
        <c:majorUnit val="10"/>
        <c:minorUnit val="10"/>
      </c:valAx>
      <c:valAx>
        <c:axId val="144219136"/>
        <c:scaling>
          <c:orientation val="minMax"/>
          <c:max val="100"/>
          <c:min val="-100"/>
        </c:scaling>
        <c:delete val="0"/>
        <c:axPos val="l"/>
        <c:majorGridlines>
          <c:spPr>
            <a:ln w="3175" cap="flat" cmpd="sng" algn="ctr">
              <a:solidFill>
                <a:srgbClr val="000000"/>
              </a:solidFill>
              <a:prstDash val="solid"/>
              <a:round/>
            </a:ln>
          </c:spPr>
        </c:majorGridlines>
        <c:title>
          <c:tx>
            <c:rich>
              <a:bodyPr rot="-5400000" spcFirstLastPara="0" vertOverflow="ellipsis" vert="horz" wrap="square" anchor="ctr" anchorCtr="1"/>
              <a:lstStyle/>
              <a:p>
                <a:pPr>
                  <a:defRPr lang="zh-CN" sz="1050" b="1" i="0" u="none" strike="noStrike" kern="1200" baseline="0">
                    <a:solidFill>
                      <a:srgbClr val="000000"/>
                    </a:solidFill>
                    <a:latin typeface="Arial" panose="020B0604020202020204"/>
                    <a:ea typeface="Arial" panose="020B0604020202020204"/>
                    <a:cs typeface="Arial" panose="020B0604020202020204"/>
                  </a:defRPr>
                </a:pPr>
                <a:r>
                  <a:rPr lang="en-US"/>
                  <a:t>Gain (dB)</a:t>
                </a:r>
              </a:p>
            </c:rich>
          </c:tx>
          <c:layout>
            <c:manualLayout>
              <c:xMode val="edge"/>
              <c:yMode val="edge"/>
              <c:x val="2.1248367530357099E-2"/>
              <c:y val="0.41005841435944901"/>
            </c:manualLayout>
          </c:layout>
          <c:overlay val="0"/>
          <c:spPr>
            <a:noFill/>
            <a:ln w="25400">
              <a:noFill/>
            </a:ln>
          </c:spPr>
        </c:title>
        <c:numFmt formatCode="General" sourceLinked="1"/>
        <c:majorTickMark val="out"/>
        <c:minorTickMark val="none"/>
        <c:tickLblPos val="nextTo"/>
        <c:spPr>
          <a:ln w="3175" cap="flat" cmpd="sng" algn="ctr">
            <a:solidFill>
              <a:srgbClr val="000000"/>
            </a:solidFill>
            <a:prstDash val="solid"/>
            <a:round/>
          </a:ln>
        </c:spPr>
        <c:txPr>
          <a:bodyPr rot="0" spcFirstLastPara="0" vertOverflow="ellipsis" vert="horz" wrap="square" anchor="ctr" anchorCtr="1"/>
          <a:lstStyle/>
          <a:p>
            <a:pPr>
              <a:defRPr lang="zh-CN" sz="1050" b="0" i="0" u="none" strike="noStrike" kern="1200" baseline="0">
                <a:solidFill>
                  <a:srgbClr val="000000"/>
                </a:solidFill>
                <a:latin typeface="Arial" panose="020B0604020202020204"/>
                <a:ea typeface="Arial" panose="020B0604020202020204"/>
                <a:cs typeface="Arial" panose="020B0604020202020204"/>
              </a:defRPr>
            </a:pPr>
            <a:endParaRPr lang="zh-CN"/>
          </a:p>
        </c:txPr>
        <c:crossAx val="144217216"/>
        <c:crossesAt val="0.01"/>
        <c:crossBetween val="midCat"/>
      </c:valAx>
      <c:valAx>
        <c:axId val="144225408"/>
        <c:scaling>
          <c:logBase val="10"/>
          <c:orientation val="minMax"/>
        </c:scaling>
        <c:delete val="1"/>
        <c:axPos val="b"/>
        <c:numFmt formatCode="0.000" sourceLinked="1"/>
        <c:majorTickMark val="out"/>
        <c:minorTickMark val="none"/>
        <c:tickLblPos val="none"/>
        <c:crossAx val="144226944"/>
        <c:crosses val="autoZero"/>
        <c:crossBetween val="midCat"/>
      </c:valAx>
      <c:valAx>
        <c:axId val="144226944"/>
        <c:scaling>
          <c:orientation val="minMax"/>
        </c:scaling>
        <c:delete val="0"/>
        <c:axPos val="r"/>
        <c:title>
          <c:tx>
            <c:rich>
              <a:bodyPr rot="5400000" spcFirstLastPara="0" vertOverflow="ellipsis" vert="horz" wrap="square" anchor="ctr" anchorCtr="1"/>
              <a:lstStyle/>
              <a:p>
                <a:pPr algn="ctr">
                  <a:defRPr lang="zh-CN" sz="1050" b="1" i="0" u="none" strike="noStrike" kern="1200" baseline="0">
                    <a:solidFill>
                      <a:srgbClr val="000000"/>
                    </a:solidFill>
                    <a:latin typeface="Arial" panose="020B0604020202020204"/>
                    <a:ea typeface="Arial" panose="020B0604020202020204"/>
                    <a:cs typeface="Arial" panose="020B0604020202020204"/>
                  </a:defRPr>
                </a:pPr>
                <a:r>
                  <a:rPr lang="en-US"/>
                  <a:t>Phase (degrees)</a:t>
                </a:r>
              </a:p>
            </c:rich>
          </c:tx>
          <c:layout>
            <c:manualLayout>
              <c:xMode val="edge"/>
              <c:yMode val="edge"/>
              <c:x val="0.94820840104218695"/>
              <c:y val="0.35976823146630899"/>
            </c:manualLayout>
          </c:layout>
          <c:overlay val="0"/>
          <c:spPr>
            <a:noFill/>
            <a:ln w="25400">
              <a:noFill/>
            </a:ln>
          </c:spPr>
        </c:title>
        <c:numFmt formatCode="General" sourceLinked="1"/>
        <c:majorTickMark val="cross"/>
        <c:minorTickMark val="none"/>
        <c:tickLblPos val="nextTo"/>
        <c:spPr>
          <a:ln w="3175" cap="flat" cmpd="sng" algn="ctr">
            <a:solidFill>
              <a:srgbClr val="000000"/>
            </a:solidFill>
            <a:prstDash val="solid"/>
            <a:round/>
          </a:ln>
        </c:spPr>
        <c:txPr>
          <a:bodyPr rot="0" spcFirstLastPara="0" vertOverflow="ellipsis" vert="horz" wrap="square" anchor="ctr" anchorCtr="1"/>
          <a:lstStyle/>
          <a:p>
            <a:pPr>
              <a:defRPr lang="zh-CN" sz="1050" b="0" i="0" u="none" strike="noStrike" kern="1200" baseline="0">
                <a:solidFill>
                  <a:srgbClr val="000000"/>
                </a:solidFill>
                <a:latin typeface="Arial" panose="020B0604020202020204"/>
                <a:ea typeface="Arial" panose="020B0604020202020204"/>
                <a:cs typeface="Arial" panose="020B0604020202020204"/>
              </a:defRPr>
            </a:pPr>
            <a:endParaRPr lang="zh-CN"/>
          </a:p>
        </c:txPr>
        <c:crossAx val="144225408"/>
        <c:crosses val="max"/>
        <c:crossBetween val="midCat"/>
      </c:valAx>
      <c:spPr>
        <a:gradFill rotWithShape="0">
          <a:gsLst>
            <a:gs pos="0">
              <a:srgbClr val="FFFFFF"/>
            </a:gs>
            <a:gs pos="100000">
              <a:srgbClr val="FFFFCC"/>
            </a:gs>
          </a:gsLst>
          <a:lin ang="5400000" scaled="1"/>
        </a:gradFill>
        <a:ln w="12700">
          <a:solidFill>
            <a:srgbClr val="808080"/>
          </a:solidFill>
          <a:prstDash val="solid"/>
        </a:ln>
      </c:spPr>
    </c:plotArea>
    <c:legend>
      <c:legendPos val="b"/>
      <c:layout>
        <c:manualLayout>
          <c:xMode val="edge"/>
          <c:yMode val="edge"/>
          <c:x val="0.16334682538962"/>
          <c:y val="0.93810533473741897"/>
          <c:w val="0.67330764611819105"/>
          <c:h val="4.8355945089557699E-2"/>
        </c:manualLayout>
      </c:layout>
      <c:overlay val="0"/>
      <c:spPr>
        <a:solidFill>
          <a:srgbClr val="FFFFFF"/>
        </a:solidFill>
        <a:ln w="3175">
          <a:solidFill>
            <a:srgbClr val="000000"/>
          </a:solidFill>
          <a:prstDash val="solid"/>
        </a:ln>
      </c:spPr>
      <c:txPr>
        <a:bodyPr rot="0" spcFirstLastPara="0" vertOverflow="ellipsis" vert="horz" wrap="square" anchor="ctr" anchorCtr="1"/>
        <a:lstStyle/>
        <a:p>
          <a:pPr>
            <a:defRPr lang="zh-CN" sz="965" b="0" i="0" u="none" strike="noStrike" kern="1200" baseline="0">
              <a:solidFill>
                <a:srgbClr val="000000"/>
              </a:solidFill>
              <a:latin typeface="Arial" panose="020B0604020202020204"/>
              <a:ea typeface="Arial" panose="020B0604020202020204"/>
              <a:cs typeface="Arial" panose="020B0604020202020204"/>
            </a:defRPr>
          </a:pPr>
          <a:endParaRPr lang="zh-CN"/>
        </a:p>
      </c:txPr>
    </c:legend>
    <c:plotVisOnly val="1"/>
    <c:dispBlanksAs val="gap"/>
    <c:showDLblsOverMax val="0"/>
    <c:extLst>
      <c:ext uri="{0b15fc19-7d7d-44ad-8c2d-2c3a37ce22c3}">
        <chartProps xmlns="https://web.wps.cn/et/2018/main" chartId="{4e3a0b2b-9cae-4abe-93b9-dd592c8d68df}"/>
      </c:ext>
    </c:extLst>
  </c:chart>
  <c:spPr>
    <a:solidFill>
      <a:srgbClr val="FFFFFF"/>
    </a:solidFill>
    <a:ln w="3175" cap="flat" cmpd="sng" algn="ctr">
      <a:solidFill>
        <a:srgbClr val="000000"/>
      </a:solidFill>
      <a:prstDash val="solid"/>
      <a:round/>
    </a:ln>
  </c:spPr>
  <c:txPr>
    <a:bodyPr/>
    <a:lstStyle/>
    <a:p>
      <a:pPr>
        <a:defRPr lang="zh-CN" sz="1050" b="0" i="0" u="none" strike="noStrike" baseline="0">
          <a:solidFill>
            <a:srgbClr val="000000"/>
          </a:solidFill>
          <a:latin typeface="Arial" panose="020B0604020202020204"/>
          <a:ea typeface="Arial" panose="020B0604020202020204"/>
          <a:cs typeface="Arial" panose="020B0604020202020204"/>
        </a:defRPr>
      </a:pPr>
      <a:endParaRPr lang="zh-CN"/>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200" b="1" i="0" u="none" strike="noStrike" kern="1200" baseline="0">
                <a:solidFill>
                  <a:srgbClr val="000000"/>
                </a:solidFill>
                <a:latin typeface="Arial" panose="020B0604020202020204"/>
                <a:ea typeface="Arial" panose="020B0604020202020204"/>
                <a:cs typeface="Arial" panose="020B0604020202020204"/>
              </a:defRPr>
            </a:pPr>
            <a:r>
              <a:rPr lang="en-US"/>
              <a:t>Voltage Closed-Loop Bode Plot</a:t>
            </a:r>
          </a:p>
        </c:rich>
      </c:tx>
      <c:layout>
        <c:manualLayout>
          <c:xMode val="edge"/>
          <c:yMode val="edge"/>
          <c:x val="0.33774834437086099"/>
          <c:y val="2.9465983011738601E-2"/>
        </c:manualLayout>
      </c:layout>
      <c:overlay val="0"/>
      <c:spPr>
        <a:noFill/>
        <a:ln w="25400">
          <a:noFill/>
        </a:ln>
      </c:spPr>
    </c:title>
    <c:autoTitleDeleted val="0"/>
    <c:plotArea>
      <c:layout>
        <c:manualLayout>
          <c:layoutTarget val="inner"/>
          <c:xMode val="edge"/>
          <c:yMode val="edge"/>
          <c:x val="0.10860927152317899"/>
          <c:y val="0.14180504324399201"/>
          <c:w val="0.78410596026490098"/>
          <c:h val="0.65930136988764998"/>
        </c:manualLayout>
      </c:layout>
      <c:scatterChart>
        <c:scatterStyle val="smoothMarker"/>
        <c:varyColors val="0"/>
        <c:ser>
          <c:idx val="0"/>
          <c:order val="0"/>
          <c:tx>
            <c:v>EA Gain</c:v>
          </c:tx>
          <c:spPr>
            <a:ln w="38100" cap="rnd" cmpd="sng" algn="ctr">
              <a:solidFill>
                <a:srgbClr val="993300"/>
              </a:solidFill>
              <a:prstDash val="solid"/>
              <a:round/>
            </a:ln>
          </c:spPr>
          <c:marker>
            <c:symbol val="none"/>
          </c:marker>
          <c:xVal>
            <c:numRef>
              <c:f>data!$H$205:$H$255</c:f>
              <c:numCache>
                <c:formatCode>0.000</c:formatCode>
                <c:ptCount val="51"/>
                <c:pt idx="0">
                  <c:v>0.01</c:v>
                </c:pt>
                <c:pt idx="1">
                  <c:v>1.2589254117941699E-2</c:v>
                </c:pt>
                <c:pt idx="2">
                  <c:v>1.58489319246111E-2</c:v>
                </c:pt>
                <c:pt idx="3">
                  <c:v>1.9952623149688799E-2</c:v>
                </c:pt>
                <c:pt idx="4">
                  <c:v>2.5118864315095801E-2</c:v>
                </c:pt>
                <c:pt idx="5">
                  <c:v>3.1622776601683798E-2</c:v>
                </c:pt>
                <c:pt idx="6">
                  <c:v>3.9810717055349699E-2</c:v>
                </c:pt>
                <c:pt idx="7">
                  <c:v>5.0118723362727199E-2</c:v>
                </c:pt>
                <c:pt idx="8">
                  <c:v>6.3095734448019303E-2</c:v>
                </c:pt>
                <c:pt idx="9">
                  <c:v>7.9432823472428096E-2</c:v>
                </c:pt>
                <c:pt idx="10">
                  <c:v>0.1</c:v>
                </c:pt>
                <c:pt idx="11">
                  <c:v>0.12589254117941701</c:v>
                </c:pt>
                <c:pt idx="12">
                  <c:v>0.15848931924611101</c:v>
                </c:pt>
                <c:pt idx="13">
                  <c:v>0.199526231496888</c:v>
                </c:pt>
                <c:pt idx="14">
                  <c:v>0.25118864315095801</c:v>
                </c:pt>
                <c:pt idx="15">
                  <c:v>0.316227766016838</c:v>
                </c:pt>
                <c:pt idx="16">
                  <c:v>0.39810717055349698</c:v>
                </c:pt>
                <c:pt idx="17">
                  <c:v>0.50118723362727202</c:v>
                </c:pt>
                <c:pt idx="18">
                  <c:v>0.63095734448019303</c:v>
                </c:pt>
                <c:pt idx="19">
                  <c:v>0.79432823472428105</c:v>
                </c:pt>
                <c:pt idx="20">
                  <c:v>1</c:v>
                </c:pt>
                <c:pt idx="21">
                  <c:v>1.2589254117941699</c:v>
                </c:pt>
                <c:pt idx="22">
                  <c:v>1.58489319246111</c:v>
                </c:pt>
                <c:pt idx="23">
                  <c:v>1.99526231496888</c:v>
                </c:pt>
                <c:pt idx="24">
                  <c:v>2.5118864315095801</c:v>
                </c:pt>
                <c:pt idx="25">
                  <c:v>3.16227766016838</c:v>
                </c:pt>
                <c:pt idx="26">
                  <c:v>3.98107170553497</c:v>
                </c:pt>
                <c:pt idx="27">
                  <c:v>5.0118723362727202</c:v>
                </c:pt>
                <c:pt idx="28">
                  <c:v>6.3095734448019298</c:v>
                </c:pt>
                <c:pt idx="29">
                  <c:v>7.9432823472428202</c:v>
                </c:pt>
                <c:pt idx="30">
                  <c:v>10</c:v>
                </c:pt>
                <c:pt idx="31">
                  <c:v>12.589254117941699</c:v>
                </c:pt>
                <c:pt idx="32">
                  <c:v>15.848931924611099</c:v>
                </c:pt>
                <c:pt idx="33">
                  <c:v>19.952623149688801</c:v>
                </c:pt>
                <c:pt idx="34">
                  <c:v>25.118864315095799</c:v>
                </c:pt>
                <c:pt idx="35">
                  <c:v>31.6227766016838</c:v>
                </c:pt>
                <c:pt idx="36">
                  <c:v>39.810717055349699</c:v>
                </c:pt>
                <c:pt idx="37">
                  <c:v>50.118723362727202</c:v>
                </c:pt>
                <c:pt idx="38">
                  <c:v>63.0957344480193</c:v>
                </c:pt>
                <c:pt idx="39">
                  <c:v>79.432823472428097</c:v>
                </c:pt>
                <c:pt idx="40">
                  <c:v>100</c:v>
                </c:pt>
                <c:pt idx="41">
                  <c:v>125.89254117941699</c:v>
                </c:pt>
                <c:pt idx="42">
                  <c:v>158.48931924611099</c:v>
                </c:pt>
                <c:pt idx="43">
                  <c:v>199.52623149688799</c:v>
                </c:pt>
                <c:pt idx="44">
                  <c:v>251.188643150958</c:v>
                </c:pt>
                <c:pt idx="45">
                  <c:v>316.22776601683802</c:v>
                </c:pt>
                <c:pt idx="46">
                  <c:v>398.10717055349699</c:v>
                </c:pt>
                <c:pt idx="47">
                  <c:v>501.18723362727201</c:v>
                </c:pt>
                <c:pt idx="48">
                  <c:v>630.957344480193</c:v>
                </c:pt>
                <c:pt idx="49">
                  <c:v>794.32823472428095</c:v>
                </c:pt>
                <c:pt idx="50">
                  <c:v>1000</c:v>
                </c:pt>
              </c:numCache>
            </c:numRef>
          </c:xVal>
          <c:yVal>
            <c:numRef>
              <c:f>data!$Q$205:$Q$255</c:f>
              <c:numCache>
                <c:formatCode>General</c:formatCode>
                <c:ptCount val="51"/>
                <c:pt idx="0">
                  <c:v>43.55409843208286</c:v>
                </c:pt>
                <c:pt idx="1">
                  <c:v>41.554314473225816</c:v>
                </c:pt>
                <c:pt idx="2">
                  <c:v>39.554656853220855</c:v>
                </c:pt>
                <c:pt idx="3">
                  <c:v>37.555199433336476</c:v>
                </c:pt>
                <c:pt idx="4">
                  <c:v>35.556059225225177</c:v>
                </c:pt>
                <c:pt idx="5">
                  <c:v>33.557421552918562</c:v>
                </c:pt>
                <c:pt idx="6">
                  <c:v>31.55957981668702</c:v>
                </c:pt>
                <c:pt idx="7">
                  <c:v>29.562998225843504</c:v>
                </c:pt>
                <c:pt idx="8">
                  <c:v>27.568410501378345</c:v>
                </c:pt>
                <c:pt idx="9">
                  <c:v>25.576974506744751</c:v>
                </c:pt>
                <c:pt idx="10">
                  <c:v>23.590512839767047</c:v>
                </c:pt>
                <c:pt idx="11">
                  <c:v>21.611883068777118</c:v>
                </c:pt>
                <c:pt idx="12">
                  <c:v>19.645537397629276</c:v>
                </c:pt>
                <c:pt idx="13">
                  <c:v>17.698344258162123</c:v>
                </c:pt>
                <c:pt idx="14">
                  <c:v>15.780736336493991</c:v>
                </c:pt>
                <c:pt idx="15">
                  <c:v>13.908180349747884</c:v>
                </c:pt>
                <c:pt idx="16">
                  <c:v>12.102758623971056</c:v>
                </c:pt>
                <c:pt idx="17">
                  <c:v>10.394221678290608</c:v>
                </c:pt>
                <c:pt idx="18">
                  <c:v>8.8192407316890034</c:v>
                </c:pt>
                <c:pt idx="19">
                  <c:v>7.4172096905789733</c:v>
                </c:pt>
                <c:pt idx="20">
                  <c:v>6.2218804002621564</c:v>
                </c:pt>
                <c:pt idx="21">
                  <c:v>5.2510810827129619</c:v>
                </c:pt>
                <c:pt idx="22">
                  <c:v>4.4998766809358299</c:v>
                </c:pt>
                <c:pt idx="23">
                  <c:v>3.9416289194461385</c:v>
                </c:pt>
                <c:pt idx="24">
                  <c:v>3.5359539527726858</c:v>
                </c:pt>
                <c:pt idx="25">
                  <c:v>3.2381394807011956</c:v>
                </c:pt>
                <c:pt idx="26">
                  <c:v>3.0052947464889628</c:v>
                </c:pt>
                <c:pt idx="27">
                  <c:v>2.7980132491572651</c:v>
                </c:pt>
                <c:pt idx="28">
                  <c:v>2.5788099707492846</c:v>
                </c:pt>
                <c:pt idx="29">
                  <c:v>2.3092633979375607</c:v>
                </c:pt>
                <c:pt idx="30">
                  <c:v>1.9477604179018422</c:v>
                </c:pt>
                <c:pt idx="31">
                  <c:v>1.4497813876631629</c:v>
                </c:pt>
                <c:pt idx="32">
                  <c:v>0.77239258184941528</c:v>
                </c:pt>
                <c:pt idx="33">
                  <c:v>-0.11714504967257147</c:v>
                </c:pt>
                <c:pt idx="34">
                  <c:v>-1.2321883520020944</c:v>
                </c:pt>
                <c:pt idx="35">
                  <c:v>-2.562715818657499</c:v>
                </c:pt>
                <c:pt idx="36">
                  <c:v>-4.0795977173804099</c:v>
                </c:pt>
                <c:pt idx="37">
                  <c:v>-5.7443275151153603</c:v>
                </c:pt>
                <c:pt idx="38">
                  <c:v>-7.5185399565751094</c:v>
                </c:pt>
                <c:pt idx="39">
                  <c:v>-9.3697482983438629</c:v>
                </c:pt>
                <c:pt idx="40">
                  <c:v>-11.27315723189257</c:v>
                </c:pt>
                <c:pt idx="41">
                  <c:v>-13.211081174143967</c:v>
                </c:pt>
                <c:pt idx="42">
                  <c:v>-15.171449506814989</c:v>
                </c:pt>
                <c:pt idx="43">
                  <c:v>-17.146255115116599</c:v>
                </c:pt>
                <c:pt idx="44">
                  <c:v>-19.130282545579142</c:v>
                </c:pt>
                <c:pt idx="45">
                  <c:v>-21.12017404630301</c:v>
                </c:pt>
                <c:pt idx="46">
                  <c:v>-23.113783815623169</c:v>
                </c:pt>
                <c:pt idx="47">
                  <c:v>-25.109746980824838</c:v>
                </c:pt>
                <c:pt idx="48">
                  <c:v>-27.107197966875859</c:v>
                </c:pt>
                <c:pt idx="49">
                  <c:v>-29.105588873151483</c:v>
                </c:pt>
                <c:pt idx="50">
                  <c:v>-31.104573295007818</c:v>
                </c:pt>
              </c:numCache>
            </c:numRef>
          </c:yVal>
          <c:smooth val="1"/>
          <c:extLst>
            <c:ext xmlns:c16="http://schemas.microsoft.com/office/drawing/2014/chart" uri="{C3380CC4-5D6E-409C-BE32-E72D297353CC}">
              <c16:uniqueId val="{00000000-B64D-4783-B3D9-D386872C8D21}"/>
            </c:ext>
          </c:extLst>
        </c:ser>
        <c:ser>
          <c:idx val="1"/>
          <c:order val="1"/>
          <c:tx>
            <c:v>Total Closed  Loop Gain</c:v>
          </c:tx>
          <c:spPr>
            <a:ln w="38100" cap="rnd" cmpd="sng" algn="ctr">
              <a:solidFill>
                <a:srgbClr val="FF0000"/>
              </a:solidFill>
              <a:prstDash val="solid"/>
              <a:round/>
            </a:ln>
          </c:spPr>
          <c:marker>
            <c:symbol val="none"/>
          </c:marker>
          <c:xVal>
            <c:numRef>
              <c:f>data!$H$205:$H$255</c:f>
              <c:numCache>
                <c:formatCode>0.000</c:formatCode>
                <c:ptCount val="51"/>
                <c:pt idx="0">
                  <c:v>0.01</c:v>
                </c:pt>
                <c:pt idx="1">
                  <c:v>1.2589254117941699E-2</c:v>
                </c:pt>
                <c:pt idx="2">
                  <c:v>1.58489319246111E-2</c:v>
                </c:pt>
                <c:pt idx="3">
                  <c:v>1.9952623149688799E-2</c:v>
                </c:pt>
                <c:pt idx="4">
                  <c:v>2.5118864315095801E-2</c:v>
                </c:pt>
                <c:pt idx="5">
                  <c:v>3.1622776601683798E-2</c:v>
                </c:pt>
                <c:pt idx="6">
                  <c:v>3.9810717055349699E-2</c:v>
                </c:pt>
                <c:pt idx="7">
                  <c:v>5.0118723362727199E-2</c:v>
                </c:pt>
                <c:pt idx="8">
                  <c:v>6.3095734448019303E-2</c:v>
                </c:pt>
                <c:pt idx="9">
                  <c:v>7.9432823472428096E-2</c:v>
                </c:pt>
                <c:pt idx="10">
                  <c:v>0.1</c:v>
                </c:pt>
                <c:pt idx="11">
                  <c:v>0.12589254117941701</c:v>
                </c:pt>
                <c:pt idx="12">
                  <c:v>0.15848931924611101</c:v>
                </c:pt>
                <c:pt idx="13">
                  <c:v>0.199526231496888</c:v>
                </c:pt>
                <c:pt idx="14">
                  <c:v>0.25118864315095801</c:v>
                </c:pt>
                <c:pt idx="15">
                  <c:v>0.316227766016838</c:v>
                </c:pt>
                <c:pt idx="16">
                  <c:v>0.39810717055349698</c:v>
                </c:pt>
                <c:pt idx="17">
                  <c:v>0.50118723362727202</c:v>
                </c:pt>
                <c:pt idx="18">
                  <c:v>0.63095734448019303</c:v>
                </c:pt>
                <c:pt idx="19">
                  <c:v>0.79432823472428105</c:v>
                </c:pt>
                <c:pt idx="20">
                  <c:v>1</c:v>
                </c:pt>
                <c:pt idx="21">
                  <c:v>1.2589254117941699</c:v>
                </c:pt>
                <c:pt idx="22">
                  <c:v>1.58489319246111</c:v>
                </c:pt>
                <c:pt idx="23">
                  <c:v>1.99526231496888</c:v>
                </c:pt>
                <c:pt idx="24">
                  <c:v>2.5118864315095801</c:v>
                </c:pt>
                <c:pt idx="25">
                  <c:v>3.16227766016838</c:v>
                </c:pt>
                <c:pt idx="26">
                  <c:v>3.98107170553497</c:v>
                </c:pt>
                <c:pt idx="27">
                  <c:v>5.0118723362727202</c:v>
                </c:pt>
                <c:pt idx="28">
                  <c:v>6.3095734448019298</c:v>
                </c:pt>
                <c:pt idx="29">
                  <c:v>7.9432823472428202</c:v>
                </c:pt>
                <c:pt idx="30">
                  <c:v>10</c:v>
                </c:pt>
                <c:pt idx="31">
                  <c:v>12.589254117941699</c:v>
                </c:pt>
                <c:pt idx="32">
                  <c:v>15.848931924611099</c:v>
                </c:pt>
                <c:pt idx="33">
                  <c:v>19.952623149688801</c:v>
                </c:pt>
                <c:pt idx="34">
                  <c:v>25.118864315095799</c:v>
                </c:pt>
                <c:pt idx="35">
                  <c:v>31.6227766016838</c:v>
                </c:pt>
                <c:pt idx="36">
                  <c:v>39.810717055349699</c:v>
                </c:pt>
                <c:pt idx="37">
                  <c:v>50.118723362727202</c:v>
                </c:pt>
                <c:pt idx="38">
                  <c:v>63.0957344480193</c:v>
                </c:pt>
                <c:pt idx="39">
                  <c:v>79.432823472428097</c:v>
                </c:pt>
                <c:pt idx="40">
                  <c:v>100</c:v>
                </c:pt>
                <c:pt idx="41">
                  <c:v>125.89254117941699</c:v>
                </c:pt>
                <c:pt idx="42">
                  <c:v>158.48931924611099</c:v>
                </c:pt>
                <c:pt idx="43">
                  <c:v>199.52623149688799</c:v>
                </c:pt>
                <c:pt idx="44">
                  <c:v>251.188643150958</c:v>
                </c:pt>
                <c:pt idx="45">
                  <c:v>316.22776601683802</c:v>
                </c:pt>
                <c:pt idx="46">
                  <c:v>398.10717055349699</c:v>
                </c:pt>
                <c:pt idx="47">
                  <c:v>501.18723362727201</c:v>
                </c:pt>
                <c:pt idx="48">
                  <c:v>630.957344480193</c:v>
                </c:pt>
                <c:pt idx="49">
                  <c:v>794.32823472428095</c:v>
                </c:pt>
                <c:pt idx="50">
                  <c:v>1000</c:v>
                </c:pt>
              </c:numCache>
            </c:numRef>
          </c:xVal>
          <c:yVal>
            <c:numRef>
              <c:f>data!$S$205:$S$255</c:f>
              <c:numCache>
                <c:formatCode>General</c:formatCode>
                <c:ptCount val="51"/>
                <c:pt idx="0">
                  <c:v>66.196279461169865</c:v>
                </c:pt>
                <c:pt idx="1">
                  <c:v>64.196269450932434</c:v>
                </c:pt>
                <c:pt idx="2">
                  <c:v>62.196253587733274</c:v>
                </c:pt>
                <c:pt idx="3">
                  <c:v>60.196228451173951</c:v>
                </c:pt>
                <c:pt idx="4">
                  <c:v>58.196188624758591</c:v>
                </c:pt>
                <c:pt idx="5">
                  <c:v>56.196125535136112</c:v>
                </c:pt>
                <c:pt idx="6">
                  <c:v>54.1960256225913</c:v>
                </c:pt>
                <c:pt idx="7">
                  <c:v>52.195867466904687</c:v>
                </c:pt>
                <c:pt idx="8">
                  <c:v>50.195617295647558</c:v>
                </c:pt>
                <c:pt idx="9">
                  <c:v>48.195222023240724</c:v>
                </c:pt>
                <c:pt idx="10">
                  <c:v>46.194598609146595</c:v>
                </c:pt>
                <c:pt idx="11">
                  <c:v>44.193618148604379</c:v>
                </c:pt>
                <c:pt idx="12">
                  <c:v>42.192082968419086</c:v>
                </c:pt>
                <c:pt idx="13">
                  <c:v>40.189695774871467</c:v>
                </c:pt>
                <c:pt idx="14">
                  <c:v>38.186023130816274</c:v>
                </c:pt>
                <c:pt idx="15">
                  <c:v>36.180463998108905</c:v>
                </c:pt>
                <c:pt idx="16">
                  <c:v>34.172250794729131</c:v>
                </c:pt>
                <c:pt idx="17">
                  <c:v>32.16053260298613</c:v>
                </c:pt>
                <c:pt idx="18">
                  <c:v>30.144593855339036</c:v>
                </c:pt>
                <c:pt idx="19">
                  <c:v>28.124190206546373</c:v>
                </c:pt>
                <c:pt idx="20">
                  <c:v>26.099800549271464</c:v>
                </c:pt>
                <c:pt idx="21">
                  <c:v>24.072441808766946</c:v>
                </c:pt>
                <c:pt idx="22">
                  <c:v>22.042881179559863</c:v>
                </c:pt>
                <c:pt idx="23">
                  <c:v>20.01057344249805</c:v>
                </c:pt>
                <c:pt idx="24">
                  <c:v>17.972828481000942</c:v>
                </c:pt>
                <c:pt idx="25">
                  <c:v>15.924299044929253</c:v>
                </c:pt>
                <c:pt idx="26">
                  <c:v>13.856438828438833</c:v>
                </c:pt>
                <c:pt idx="27">
                  <c:v>11.756575656641598</c:v>
                </c:pt>
                <c:pt idx="28">
                  <c:v>9.6065418161364651</c:v>
                </c:pt>
                <c:pt idx="29">
                  <c:v>7.3812119372662686</c:v>
                </c:pt>
                <c:pt idx="30">
                  <c:v>5.0478412308199889</c:v>
                </c:pt>
                <c:pt idx="31">
                  <c:v>2.5677066899258438</c:v>
                </c:pt>
                <c:pt idx="32">
                  <c:v>-9.8385161389476561E-2</c:v>
                </c:pt>
                <c:pt idx="33">
                  <c:v>-2.9807797468107506</c:v>
                </c:pt>
                <c:pt idx="34">
                  <c:v>-6.0913100392503132</c:v>
                </c:pt>
                <c:pt idx="35">
                  <c:v>-9.4189875742580149</c:v>
                </c:pt>
                <c:pt idx="36">
                  <c:v>-12.934070324929705</c:v>
                </c:pt>
                <c:pt idx="37">
                  <c:v>-16.597664553371018</c:v>
                </c:pt>
                <c:pt idx="38">
                  <c:v>-20.371160346238465</c:v>
                </c:pt>
                <c:pt idx="39">
                  <c:v>-24.221916452459652</c:v>
                </c:pt>
                <c:pt idx="40">
                  <c:v>-28.125040020436138</c:v>
                </c:pt>
                <c:pt idx="41">
                  <c:v>-32.062783899535432</c:v>
                </c:pt>
                <c:pt idx="42">
                  <c:v>-36.023038616196864</c:v>
                </c:pt>
                <c:pt idx="43">
                  <c:v>-39.997772536113324</c:v>
                </c:pt>
                <c:pt idx="44">
                  <c:v>-43.981754733653872</c:v>
                </c:pt>
                <c:pt idx="45">
                  <c:v>-47.971617694090973</c:v>
                </c:pt>
                <c:pt idx="46">
                  <c:v>-51.965209455611081</c:v>
                </c:pt>
                <c:pt idx="47">
                  <c:v>-55.961161258620663</c:v>
                </c:pt>
                <c:pt idx="48">
                  <c:v>-59.958605075597831</c:v>
                </c:pt>
                <c:pt idx="49">
                  <c:v>-63.956991458487515</c:v>
                </c:pt>
                <c:pt idx="50">
                  <c:v>-67.95597302627786</c:v>
                </c:pt>
              </c:numCache>
            </c:numRef>
          </c:yVal>
          <c:smooth val="1"/>
          <c:extLst>
            <c:ext xmlns:c16="http://schemas.microsoft.com/office/drawing/2014/chart" uri="{C3380CC4-5D6E-409C-BE32-E72D297353CC}">
              <c16:uniqueId val="{00000001-B64D-4783-B3D9-D386872C8D21}"/>
            </c:ext>
          </c:extLst>
        </c:ser>
        <c:dLbls>
          <c:showLegendKey val="0"/>
          <c:showVal val="0"/>
          <c:showCatName val="0"/>
          <c:showSerName val="0"/>
          <c:showPercent val="0"/>
          <c:showBubbleSize val="0"/>
        </c:dLbls>
        <c:axId val="142835072"/>
        <c:axId val="142849536"/>
      </c:scatterChart>
      <c:scatterChart>
        <c:scatterStyle val="lineMarker"/>
        <c:varyColors val="0"/>
        <c:ser>
          <c:idx val="2"/>
          <c:order val="2"/>
          <c:tx>
            <c:v>Total Closed Loop Phase Margin</c:v>
          </c:tx>
          <c:spPr>
            <a:ln w="38100" cap="rnd" cmpd="sng" algn="ctr">
              <a:solidFill>
                <a:srgbClr val="0000FF"/>
              </a:solidFill>
              <a:prstDash val="solid"/>
              <a:round/>
            </a:ln>
          </c:spPr>
          <c:marker>
            <c:symbol val="none"/>
          </c:marker>
          <c:xVal>
            <c:numRef>
              <c:f>data!$H$205:$H$255</c:f>
              <c:numCache>
                <c:formatCode>0.000</c:formatCode>
                <c:ptCount val="51"/>
                <c:pt idx="0">
                  <c:v>0.01</c:v>
                </c:pt>
                <c:pt idx="1">
                  <c:v>1.2589254117941699E-2</c:v>
                </c:pt>
                <c:pt idx="2">
                  <c:v>1.58489319246111E-2</c:v>
                </c:pt>
                <c:pt idx="3">
                  <c:v>1.9952623149688799E-2</c:v>
                </c:pt>
                <c:pt idx="4">
                  <c:v>2.5118864315095801E-2</c:v>
                </c:pt>
                <c:pt idx="5">
                  <c:v>3.1622776601683798E-2</c:v>
                </c:pt>
                <c:pt idx="6">
                  <c:v>3.9810717055349699E-2</c:v>
                </c:pt>
                <c:pt idx="7">
                  <c:v>5.0118723362727199E-2</c:v>
                </c:pt>
                <c:pt idx="8">
                  <c:v>6.3095734448019303E-2</c:v>
                </c:pt>
                <c:pt idx="9">
                  <c:v>7.9432823472428096E-2</c:v>
                </c:pt>
                <c:pt idx="10">
                  <c:v>0.1</c:v>
                </c:pt>
                <c:pt idx="11">
                  <c:v>0.12589254117941701</c:v>
                </c:pt>
                <c:pt idx="12">
                  <c:v>0.15848931924611101</c:v>
                </c:pt>
                <c:pt idx="13">
                  <c:v>0.199526231496888</c:v>
                </c:pt>
                <c:pt idx="14">
                  <c:v>0.25118864315095801</c:v>
                </c:pt>
                <c:pt idx="15">
                  <c:v>0.316227766016838</c:v>
                </c:pt>
                <c:pt idx="16">
                  <c:v>0.39810717055349698</c:v>
                </c:pt>
                <c:pt idx="17">
                  <c:v>0.50118723362727202</c:v>
                </c:pt>
                <c:pt idx="18">
                  <c:v>0.63095734448019303</c:v>
                </c:pt>
                <c:pt idx="19">
                  <c:v>0.79432823472428105</c:v>
                </c:pt>
                <c:pt idx="20">
                  <c:v>1</c:v>
                </c:pt>
                <c:pt idx="21">
                  <c:v>1.2589254117941699</c:v>
                </c:pt>
                <c:pt idx="22">
                  <c:v>1.58489319246111</c:v>
                </c:pt>
                <c:pt idx="23">
                  <c:v>1.99526231496888</c:v>
                </c:pt>
                <c:pt idx="24">
                  <c:v>2.5118864315095801</c:v>
                </c:pt>
                <c:pt idx="25">
                  <c:v>3.16227766016838</c:v>
                </c:pt>
                <c:pt idx="26">
                  <c:v>3.98107170553497</c:v>
                </c:pt>
                <c:pt idx="27">
                  <c:v>5.0118723362727202</c:v>
                </c:pt>
                <c:pt idx="28">
                  <c:v>6.3095734448019298</c:v>
                </c:pt>
                <c:pt idx="29">
                  <c:v>7.9432823472428202</c:v>
                </c:pt>
                <c:pt idx="30">
                  <c:v>10</c:v>
                </c:pt>
                <c:pt idx="31">
                  <c:v>12.589254117941699</c:v>
                </c:pt>
                <c:pt idx="32">
                  <c:v>15.848931924611099</c:v>
                </c:pt>
                <c:pt idx="33">
                  <c:v>19.952623149688801</c:v>
                </c:pt>
                <c:pt idx="34">
                  <c:v>25.118864315095799</c:v>
                </c:pt>
                <c:pt idx="35">
                  <c:v>31.6227766016838</c:v>
                </c:pt>
                <c:pt idx="36">
                  <c:v>39.810717055349699</c:v>
                </c:pt>
                <c:pt idx="37">
                  <c:v>50.118723362727202</c:v>
                </c:pt>
                <c:pt idx="38">
                  <c:v>63.0957344480193</c:v>
                </c:pt>
                <c:pt idx="39">
                  <c:v>79.432823472428097</c:v>
                </c:pt>
                <c:pt idx="40">
                  <c:v>100</c:v>
                </c:pt>
                <c:pt idx="41">
                  <c:v>125.89254117941699</c:v>
                </c:pt>
                <c:pt idx="42">
                  <c:v>158.48931924611099</c:v>
                </c:pt>
                <c:pt idx="43">
                  <c:v>199.52623149688799</c:v>
                </c:pt>
                <c:pt idx="44">
                  <c:v>251.188643150958</c:v>
                </c:pt>
                <c:pt idx="45">
                  <c:v>316.22776601683802</c:v>
                </c:pt>
                <c:pt idx="46">
                  <c:v>398.10717055349699</c:v>
                </c:pt>
                <c:pt idx="47">
                  <c:v>501.18723362727201</c:v>
                </c:pt>
                <c:pt idx="48">
                  <c:v>630.957344480193</c:v>
                </c:pt>
                <c:pt idx="49">
                  <c:v>794.32823472428095</c:v>
                </c:pt>
                <c:pt idx="50">
                  <c:v>1000</c:v>
                </c:pt>
              </c:numCache>
            </c:numRef>
          </c:xVal>
          <c:yVal>
            <c:numRef>
              <c:f>data!$T$205:$T$255</c:f>
              <c:numCache>
                <c:formatCode>General</c:formatCode>
                <c:ptCount val="51"/>
                <c:pt idx="0">
                  <c:v>89.960064402996963</c:v>
                </c:pt>
                <c:pt idx="1">
                  <c:v>89.94972479081396</c:v>
                </c:pt>
                <c:pt idx="2">
                  <c:v>89.936708715361405</c:v>
                </c:pt>
                <c:pt idx="3">
                  <c:v>89.920323893509561</c:v>
                </c:pt>
                <c:pt idx="4">
                  <c:v>89.899699509349361</c:v>
                </c:pt>
                <c:pt idx="5">
                  <c:v>89.873740699110002</c:v>
                </c:pt>
                <c:pt idx="6">
                  <c:v>89.841071955127987</c:v>
                </c:pt>
                <c:pt idx="7">
                  <c:v>89.799967271505651</c:v>
                </c:pt>
                <c:pt idx="8">
                  <c:v>89.748264959636089</c:v>
                </c:pt>
                <c:pt idx="9">
                  <c:v>89.683265819923932</c:v>
                </c:pt>
                <c:pt idx="10">
                  <c:v>89.601615472315672</c:v>
                </c:pt>
                <c:pt idx="11">
                  <c:v>89.499176369211781</c:v>
                </c:pt>
                <c:pt idx="12">
                  <c:v>89.37090428245078</c:v>
                </c:pt>
                <c:pt idx="13">
                  <c:v>89.210760120198856</c:v>
                </c:pt>
                <c:pt idx="14">
                  <c:v>89.011710878331883</c:v>
                </c:pt>
                <c:pt idx="15">
                  <c:v>88.765893178454476</c:v>
                </c:pt>
                <c:pt idx="16">
                  <c:v>88.464990212936286</c:v>
                </c:pt>
                <c:pt idx="17">
                  <c:v>88.100717798480574</c:v>
                </c:pt>
                <c:pt idx="18">
                  <c:v>87.664919038461875</c:v>
                </c:pt>
                <c:pt idx="19">
                  <c:v>87.148233568343358</c:v>
                </c:pt>
                <c:pt idx="20">
                  <c:v>86.536348518047916</c:v>
                </c:pt>
                <c:pt idx="21">
                  <c:v>85.80442421152685</c:v>
                </c:pt>
                <c:pt idx="22">
                  <c:v>84.912602943099856</c:v>
                </c:pt>
                <c:pt idx="23">
                  <c:v>83.805343440749411</c:v>
                </c:pt>
                <c:pt idx="24">
                  <c:v>82.413942921385271</c:v>
                </c:pt>
                <c:pt idx="25">
                  <c:v>80.659345563262278</c:v>
                </c:pt>
                <c:pt idx="26">
                  <c:v>78.453897406748723</c:v>
                </c:pt>
                <c:pt idx="27">
                  <c:v>75.703658706545355</c:v>
                </c:pt>
                <c:pt idx="28">
                  <c:v>72.314683360020297</c:v>
                </c:pt>
                <c:pt idx="29">
                  <c:v>68.207167566902697</c:v>
                </c:pt>
                <c:pt idx="30">
                  <c:v>63.340381193041537</c:v>
                </c:pt>
                <c:pt idx="31">
                  <c:v>57.746885809300224</c:v>
                </c:pt>
                <c:pt idx="32">
                  <c:v>51.564761700565839</c:v>
                </c:pt>
                <c:pt idx="33">
                  <c:v>45.045470999674791</c:v>
                </c:pt>
                <c:pt idx="34">
                  <c:v>38.517072297501642</c:v>
                </c:pt>
                <c:pt idx="35">
                  <c:v>32.308883494594824</c:v>
                </c:pt>
                <c:pt idx="36">
                  <c:v>26.67539765772392</c:v>
                </c:pt>
                <c:pt idx="37">
                  <c:v>21.757944573177923</c:v>
                </c:pt>
                <c:pt idx="38">
                  <c:v>17.591405997952364</c:v>
                </c:pt>
                <c:pt idx="39">
                  <c:v>14.136242639799178</c:v>
                </c:pt>
                <c:pt idx="40">
                  <c:v>11.313293347418664</c:v>
                </c:pt>
                <c:pt idx="41">
                  <c:v>9.0297510129935858</c:v>
                </c:pt>
                <c:pt idx="42">
                  <c:v>7.1945873895619457</c:v>
                </c:pt>
                <c:pt idx="43">
                  <c:v>5.7259902417097805</c:v>
                </c:pt>
                <c:pt idx="44">
                  <c:v>4.5539240254164213</c:v>
                </c:pt>
                <c:pt idx="45">
                  <c:v>3.620131424126896</c:v>
                </c:pt>
                <c:pt idx="46">
                  <c:v>2.8769896856378807</c:v>
                </c:pt>
                <c:pt idx="47">
                  <c:v>2.28598538880928</c:v>
                </c:pt>
                <c:pt idx="48">
                  <c:v>1.8161795336507964</c:v>
                </c:pt>
                <c:pt idx="49">
                  <c:v>1.4428216071487725</c:v>
                </c:pt>
                <c:pt idx="50">
                  <c:v>1.1461636473944452</c:v>
                </c:pt>
              </c:numCache>
            </c:numRef>
          </c:yVal>
          <c:smooth val="1"/>
          <c:extLst>
            <c:ext xmlns:c16="http://schemas.microsoft.com/office/drawing/2014/chart" uri="{C3380CC4-5D6E-409C-BE32-E72D297353CC}">
              <c16:uniqueId val="{00000002-B64D-4783-B3D9-D386872C8D21}"/>
            </c:ext>
          </c:extLst>
        </c:ser>
        <c:dLbls>
          <c:showLegendKey val="0"/>
          <c:showVal val="0"/>
          <c:showCatName val="0"/>
          <c:showSerName val="0"/>
          <c:showPercent val="0"/>
          <c:showBubbleSize val="0"/>
        </c:dLbls>
        <c:axId val="142851456"/>
        <c:axId val="142853248"/>
      </c:scatterChart>
      <c:valAx>
        <c:axId val="142835072"/>
        <c:scaling>
          <c:logBase val="10"/>
          <c:orientation val="minMax"/>
          <c:max val="1000"/>
          <c:min val="0.01"/>
        </c:scaling>
        <c:delete val="0"/>
        <c:axPos val="b"/>
        <c:majorGridlines>
          <c:spPr>
            <a:ln w="3175" cap="flat" cmpd="sng" algn="ctr">
              <a:solidFill>
                <a:srgbClr val="000000"/>
              </a:solidFill>
              <a:prstDash val="solid"/>
              <a:round/>
            </a:ln>
          </c:spPr>
        </c:majorGridlines>
        <c:minorGridlines>
          <c:spPr>
            <a:ln w="3175" cap="flat" cmpd="sng" algn="ctr">
              <a:solidFill>
                <a:srgbClr val="000000"/>
              </a:solidFill>
              <a:prstDash val="solid"/>
              <a:round/>
            </a:ln>
          </c:spPr>
        </c:minorGridlines>
        <c:title>
          <c:tx>
            <c:rich>
              <a:bodyPr rot="0" spcFirstLastPara="0" vertOverflow="ellipsis" vert="horz" wrap="square" anchor="ctr" anchorCtr="1"/>
              <a:lstStyle/>
              <a:p>
                <a:pPr>
                  <a:defRPr lang="zh-CN" sz="1150" b="1" i="0" u="none" strike="noStrike" kern="1200" baseline="0">
                    <a:solidFill>
                      <a:srgbClr val="000000"/>
                    </a:solidFill>
                    <a:latin typeface="Arial" panose="020B0604020202020204"/>
                    <a:ea typeface="Arial" panose="020B0604020202020204"/>
                    <a:cs typeface="Arial" panose="020B0604020202020204"/>
                  </a:defRPr>
                </a:pPr>
                <a:r>
                  <a:rPr lang="en-US"/>
                  <a:t>Frequency (Hz)</a:t>
                </a:r>
              </a:p>
            </c:rich>
          </c:tx>
          <c:layout>
            <c:manualLayout>
              <c:xMode val="edge"/>
              <c:yMode val="edge"/>
              <c:x val="0.426490066225166"/>
              <c:y val="0.86556325096982001"/>
            </c:manualLayout>
          </c:layout>
          <c:overlay val="0"/>
          <c:spPr>
            <a:noFill/>
            <a:ln w="25400">
              <a:noFill/>
            </a:ln>
          </c:spPr>
        </c:title>
        <c:numFmt formatCode="General" sourceLinked="0"/>
        <c:majorTickMark val="out"/>
        <c:minorTickMark val="none"/>
        <c:tickLblPos val="nextTo"/>
        <c:spPr>
          <a:ln w="3175" cap="flat" cmpd="sng" algn="ctr">
            <a:solidFill>
              <a:srgbClr val="000000"/>
            </a:solidFill>
            <a:prstDash val="solid"/>
            <a:round/>
          </a:ln>
        </c:spPr>
        <c:txPr>
          <a:bodyPr rot="0" spcFirstLastPara="0" vertOverflow="ellipsis" vert="horz" wrap="square" anchor="ctr" anchorCtr="1"/>
          <a:lstStyle/>
          <a:p>
            <a:pPr>
              <a:defRPr lang="zh-CN" sz="1150" b="0" i="0" u="none" strike="noStrike" kern="1200" baseline="0">
                <a:solidFill>
                  <a:srgbClr val="000000"/>
                </a:solidFill>
                <a:latin typeface="Arial" panose="020B0604020202020204"/>
                <a:ea typeface="Arial" panose="020B0604020202020204"/>
                <a:cs typeface="Arial" panose="020B0604020202020204"/>
              </a:defRPr>
            </a:pPr>
            <a:endParaRPr lang="zh-CN"/>
          </a:p>
        </c:txPr>
        <c:crossAx val="142849536"/>
        <c:crossesAt val="-150"/>
        <c:crossBetween val="midCat"/>
        <c:majorUnit val="10"/>
        <c:minorUnit val="10"/>
      </c:valAx>
      <c:valAx>
        <c:axId val="142849536"/>
        <c:scaling>
          <c:orientation val="minMax"/>
          <c:max val="100"/>
        </c:scaling>
        <c:delete val="0"/>
        <c:axPos val="l"/>
        <c:majorGridlines>
          <c:spPr>
            <a:ln w="3175" cap="flat" cmpd="sng" algn="ctr">
              <a:solidFill>
                <a:srgbClr val="000000"/>
              </a:solidFill>
              <a:prstDash val="solid"/>
              <a:round/>
            </a:ln>
          </c:spPr>
        </c:majorGridlines>
        <c:title>
          <c:tx>
            <c:rich>
              <a:bodyPr rot="-5400000" spcFirstLastPara="0" vertOverflow="ellipsis" vert="horz" wrap="square" anchor="ctr" anchorCtr="1"/>
              <a:lstStyle/>
              <a:p>
                <a:pPr>
                  <a:defRPr lang="zh-CN" sz="1150" b="1" i="0" u="none" strike="noStrike" kern="1200" baseline="0">
                    <a:solidFill>
                      <a:srgbClr val="000000"/>
                    </a:solidFill>
                    <a:latin typeface="Arial" panose="020B0604020202020204"/>
                    <a:ea typeface="Arial" panose="020B0604020202020204"/>
                    <a:cs typeface="Arial" panose="020B0604020202020204"/>
                  </a:defRPr>
                </a:pPr>
                <a:r>
                  <a:rPr lang="en-US"/>
                  <a:t>Gain (dB)</a:t>
                </a:r>
              </a:p>
            </c:rich>
          </c:tx>
          <c:layout>
            <c:manualLayout>
              <c:xMode val="edge"/>
              <c:yMode val="edge"/>
              <c:x val="2.1192052980132499E-2"/>
              <c:y val="0.40699889034963899"/>
            </c:manualLayout>
          </c:layout>
          <c:overlay val="0"/>
          <c:spPr>
            <a:noFill/>
            <a:ln w="25400">
              <a:noFill/>
            </a:ln>
          </c:spPr>
        </c:title>
        <c:numFmt formatCode="General" sourceLinked="1"/>
        <c:majorTickMark val="out"/>
        <c:minorTickMark val="none"/>
        <c:tickLblPos val="nextTo"/>
        <c:spPr>
          <a:ln w="3175" cap="flat" cmpd="sng" algn="ctr">
            <a:solidFill>
              <a:srgbClr val="000000"/>
            </a:solidFill>
            <a:prstDash val="solid"/>
            <a:round/>
          </a:ln>
        </c:spPr>
        <c:txPr>
          <a:bodyPr rot="0" spcFirstLastPara="0" vertOverflow="ellipsis" vert="horz" wrap="square" anchor="ctr" anchorCtr="1"/>
          <a:lstStyle/>
          <a:p>
            <a:pPr>
              <a:defRPr lang="zh-CN" sz="1150" b="0" i="0" u="none" strike="noStrike" kern="1200" baseline="0">
                <a:solidFill>
                  <a:srgbClr val="000000"/>
                </a:solidFill>
                <a:latin typeface="Arial" panose="020B0604020202020204"/>
                <a:ea typeface="Arial" panose="020B0604020202020204"/>
                <a:cs typeface="Arial" panose="020B0604020202020204"/>
              </a:defRPr>
            </a:pPr>
            <a:endParaRPr lang="zh-CN"/>
          </a:p>
        </c:txPr>
        <c:crossAx val="142835072"/>
        <c:crossesAt val="0.01"/>
        <c:crossBetween val="midCat"/>
      </c:valAx>
      <c:valAx>
        <c:axId val="142851456"/>
        <c:scaling>
          <c:logBase val="10"/>
          <c:orientation val="minMax"/>
        </c:scaling>
        <c:delete val="1"/>
        <c:axPos val="b"/>
        <c:numFmt formatCode="0.000" sourceLinked="1"/>
        <c:majorTickMark val="out"/>
        <c:minorTickMark val="none"/>
        <c:tickLblPos val="none"/>
        <c:crossAx val="142853248"/>
        <c:crosses val="autoZero"/>
        <c:crossBetween val="midCat"/>
      </c:valAx>
      <c:valAx>
        <c:axId val="142853248"/>
        <c:scaling>
          <c:orientation val="minMax"/>
          <c:max val="180"/>
        </c:scaling>
        <c:delete val="0"/>
        <c:axPos val="r"/>
        <c:title>
          <c:tx>
            <c:rich>
              <a:bodyPr rot="5400000" spcFirstLastPara="0" vertOverflow="ellipsis" vert="horz" wrap="square" anchor="ctr" anchorCtr="1"/>
              <a:lstStyle/>
              <a:p>
                <a:pPr algn="ctr">
                  <a:defRPr lang="zh-CN" sz="1125" b="1" i="0" u="none" strike="noStrike" kern="1200" baseline="0">
                    <a:solidFill>
                      <a:srgbClr val="000000"/>
                    </a:solidFill>
                    <a:latin typeface="Arial" panose="020B0604020202020204"/>
                    <a:ea typeface="Arial" panose="020B0604020202020204"/>
                    <a:cs typeface="Arial" panose="020B0604020202020204"/>
                  </a:defRPr>
                </a:pPr>
                <a:r>
                  <a:rPr lang="en-US"/>
                  <a:t>Phase (degrees)</a:t>
                </a:r>
              </a:p>
            </c:rich>
          </c:tx>
          <c:layout>
            <c:manualLayout>
              <c:xMode val="edge"/>
              <c:yMode val="edge"/>
              <c:x val="0.94304635761589395"/>
              <c:y val="0.36095829189379702"/>
            </c:manualLayout>
          </c:layout>
          <c:overlay val="0"/>
          <c:spPr>
            <a:noFill/>
            <a:ln w="25400">
              <a:noFill/>
            </a:ln>
          </c:spPr>
        </c:title>
        <c:numFmt formatCode="General" sourceLinked="1"/>
        <c:majorTickMark val="cross"/>
        <c:minorTickMark val="none"/>
        <c:tickLblPos val="nextTo"/>
        <c:spPr>
          <a:ln w="3175" cap="flat" cmpd="sng" algn="ctr">
            <a:solidFill>
              <a:srgbClr val="000000"/>
            </a:solidFill>
            <a:prstDash val="solid"/>
            <a:round/>
          </a:ln>
        </c:spPr>
        <c:txPr>
          <a:bodyPr rot="0" spcFirstLastPara="0" vertOverflow="ellipsis" vert="horz" wrap="square" anchor="ctr" anchorCtr="1"/>
          <a:lstStyle/>
          <a:p>
            <a:pPr>
              <a:defRPr lang="zh-CN" sz="1150" b="0" i="0" u="none" strike="noStrike" kern="1200" baseline="0">
                <a:solidFill>
                  <a:srgbClr val="000000"/>
                </a:solidFill>
                <a:latin typeface="Arial" panose="020B0604020202020204"/>
                <a:ea typeface="Arial" panose="020B0604020202020204"/>
                <a:cs typeface="Arial" panose="020B0604020202020204"/>
              </a:defRPr>
            </a:pPr>
            <a:endParaRPr lang="zh-CN"/>
          </a:p>
        </c:txPr>
        <c:crossAx val="142851456"/>
        <c:crosses val="max"/>
        <c:crossBetween val="midCat"/>
      </c:valAx>
      <c:spPr>
        <a:gradFill rotWithShape="0">
          <a:gsLst>
            <a:gs pos="0">
              <a:srgbClr val="FFFFFF"/>
            </a:gs>
            <a:gs pos="100000">
              <a:srgbClr val="FFFFCC"/>
            </a:gs>
          </a:gsLst>
          <a:lin ang="5400000" scaled="1"/>
        </a:gradFill>
        <a:ln w="12700">
          <a:solidFill>
            <a:srgbClr val="808080"/>
          </a:solidFill>
          <a:prstDash val="solid"/>
        </a:ln>
      </c:spPr>
    </c:plotArea>
    <c:legend>
      <c:legendPos val="b"/>
      <c:layout>
        <c:manualLayout>
          <c:xMode val="edge"/>
          <c:yMode val="edge"/>
          <c:x val="0.15099337748344399"/>
          <c:y val="0.939228208499166"/>
          <c:w val="0.69801324503311302"/>
          <c:h val="4.7882222394075101E-2"/>
        </c:manualLayout>
      </c:layout>
      <c:overlay val="0"/>
      <c:spPr>
        <a:solidFill>
          <a:srgbClr val="FFFFFF"/>
        </a:solidFill>
        <a:ln w="3175">
          <a:solidFill>
            <a:srgbClr val="000000"/>
          </a:solidFill>
          <a:prstDash val="solid"/>
        </a:ln>
      </c:spPr>
      <c:txPr>
        <a:bodyPr rot="0" spcFirstLastPara="0" vertOverflow="ellipsis" vert="horz" wrap="square" anchor="ctr" anchorCtr="1"/>
        <a:lstStyle/>
        <a:p>
          <a:pPr>
            <a:defRPr lang="zh-CN" sz="1055" b="0" i="0" u="none" strike="noStrike" kern="1200" baseline="0">
              <a:solidFill>
                <a:srgbClr val="000000"/>
              </a:solidFill>
              <a:latin typeface="Arial" panose="020B0604020202020204"/>
              <a:ea typeface="Arial" panose="020B0604020202020204"/>
              <a:cs typeface="Arial" panose="020B0604020202020204"/>
            </a:defRPr>
          </a:pPr>
          <a:endParaRPr lang="zh-CN"/>
        </a:p>
      </c:txPr>
    </c:legend>
    <c:plotVisOnly val="1"/>
    <c:dispBlanksAs val="gap"/>
    <c:showDLblsOverMax val="0"/>
    <c:extLst>
      <c:ext uri="{0b15fc19-7d7d-44ad-8c2d-2c3a37ce22c3}">
        <chartProps xmlns="https://web.wps.cn/et/2018/main" chartId="{2b5852d3-6d15-4ed2-9674-da9a92936faf}"/>
      </c:ext>
    </c:extLst>
  </c:chart>
  <c:spPr>
    <a:solidFill>
      <a:srgbClr val="FFFFFF"/>
    </a:solidFill>
    <a:ln w="3175" cap="flat" cmpd="sng" algn="ctr">
      <a:solidFill>
        <a:srgbClr val="000000"/>
      </a:solidFill>
      <a:prstDash val="solid"/>
      <a:round/>
    </a:ln>
  </c:spPr>
  <c:txPr>
    <a:bodyPr/>
    <a:lstStyle/>
    <a:p>
      <a:pPr>
        <a:defRPr lang="zh-CN" sz="1150" b="0" i="0" u="none" strike="noStrike" baseline="0">
          <a:solidFill>
            <a:srgbClr val="000000"/>
          </a:solidFill>
          <a:latin typeface="Arial" panose="020B0604020202020204"/>
          <a:ea typeface="Arial" panose="020B0604020202020204"/>
          <a:cs typeface="Arial" panose="020B0604020202020204"/>
        </a:defRPr>
      </a:pPr>
      <a:endParaRPr lang="zh-CN"/>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9525</xdr:colOff>
      <xdr:row>144</xdr:row>
      <xdr:rowOff>0</xdr:rowOff>
    </xdr:from>
    <xdr:to>
      <xdr:col>3</xdr:col>
      <xdr:colOff>600075</xdr:colOff>
      <xdr:row>166</xdr:row>
      <xdr:rowOff>200025</xdr:rowOff>
    </xdr:to>
    <xdr:graphicFrame macro="">
      <xdr:nvGraphicFramePr>
        <xdr:cNvPr id="1025"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176</xdr:row>
      <xdr:rowOff>0</xdr:rowOff>
    </xdr:from>
    <xdr:to>
      <xdr:col>3</xdr:col>
      <xdr:colOff>600075</xdr:colOff>
      <xdr:row>206</xdr:row>
      <xdr:rowOff>104775</xdr:rowOff>
    </xdr:to>
    <xdr:graphicFrame macro="">
      <xdr:nvGraphicFramePr>
        <xdr:cNvPr id="1026"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206</xdr:row>
      <xdr:rowOff>133350</xdr:rowOff>
    </xdr:from>
    <xdr:to>
      <xdr:col>3</xdr:col>
      <xdr:colOff>600075</xdr:colOff>
      <xdr:row>227</xdr:row>
      <xdr:rowOff>152400</xdr:rowOff>
    </xdr:to>
    <xdr:graphicFrame macro="">
      <xdr:nvGraphicFramePr>
        <xdr:cNvPr id="1027"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228</xdr:row>
      <xdr:rowOff>0</xdr:rowOff>
    </xdr:from>
    <xdr:to>
      <xdr:col>3</xdr:col>
      <xdr:colOff>600075</xdr:colOff>
      <xdr:row>258</xdr:row>
      <xdr:rowOff>66675</xdr:rowOff>
    </xdr:to>
    <xdr:graphicFrame macro="">
      <xdr:nvGraphicFramePr>
        <xdr:cNvPr id="1031"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271</xdr:row>
      <xdr:rowOff>9525</xdr:rowOff>
    </xdr:from>
    <xdr:to>
      <xdr:col>3</xdr:col>
      <xdr:colOff>676275</xdr:colOff>
      <xdr:row>302</xdr:row>
      <xdr:rowOff>133350</xdr:rowOff>
    </xdr:to>
    <xdr:graphicFrame macro="">
      <xdr:nvGraphicFramePr>
        <xdr:cNvPr id="1032"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xdr:row>
          <xdr:rowOff>30480</xdr:rowOff>
        </xdr:from>
        <xdr:to>
          <xdr:col>5</xdr:col>
          <xdr:colOff>152400</xdr:colOff>
          <xdr:row>34</xdr:row>
          <xdr:rowOff>83820</xdr:rowOff>
        </xdr:to>
        <xdr:sp macro="" textlink="">
          <xdr:nvSpPr>
            <xdr:cNvPr id="8194" name="Object 2" hidden="1">
              <a:extLst>
                <a:ext uri="{63B3BB69-23CF-44E3-9099-C40C66FF867C}">
                  <a14:compatExt spid="_x0000_s8194"/>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N18"/>
  <sheetViews>
    <sheetView zoomScale="75" zoomScaleNormal="75" workbookViewId="0">
      <selection activeCell="Q7" sqref="Q7"/>
    </sheetView>
  </sheetViews>
  <sheetFormatPr defaultColWidth="9" defaultRowHeight="13.2" x14ac:dyDescent="0.25"/>
  <sheetData>
    <row r="1" spans="1:14" ht="33" x14ac:dyDescent="0.25">
      <c r="A1" s="135" t="s">
        <v>0</v>
      </c>
      <c r="B1" s="135"/>
      <c r="C1" s="135"/>
      <c r="D1" s="135"/>
      <c r="E1" s="135"/>
      <c r="F1" s="135"/>
      <c r="G1" s="135"/>
      <c r="H1" s="135"/>
      <c r="I1" s="135"/>
      <c r="J1" s="135"/>
      <c r="K1" s="135"/>
      <c r="L1" s="135"/>
      <c r="M1" s="135"/>
      <c r="N1" s="135"/>
    </row>
    <row r="2" spans="1:14" ht="75.75" customHeight="1" x14ac:dyDescent="0.25">
      <c r="A2" s="136" t="s">
        <v>1</v>
      </c>
      <c r="B2" s="136"/>
      <c r="C2" s="136"/>
      <c r="D2" s="136"/>
      <c r="E2" s="136"/>
      <c r="F2" s="136"/>
      <c r="G2" s="136"/>
      <c r="H2" s="136"/>
      <c r="I2" s="136"/>
      <c r="J2" s="136"/>
      <c r="K2" s="136"/>
      <c r="L2" s="136"/>
      <c r="M2" s="136"/>
      <c r="N2" s="136"/>
    </row>
    <row r="3" spans="1:14" x14ac:dyDescent="0.25">
      <c r="A3" s="132"/>
      <c r="B3" s="132"/>
      <c r="C3" s="132"/>
      <c r="D3" s="132"/>
      <c r="E3" s="132"/>
      <c r="F3" s="132"/>
      <c r="G3" s="132"/>
      <c r="H3" s="132"/>
      <c r="I3" s="132"/>
      <c r="J3" s="132"/>
      <c r="K3" s="132"/>
      <c r="L3" s="132"/>
      <c r="M3" s="132"/>
      <c r="N3" s="132"/>
    </row>
    <row r="4" spans="1:14" ht="24.6" x14ac:dyDescent="0.25">
      <c r="A4" s="134" t="s">
        <v>2</v>
      </c>
      <c r="B4" s="134"/>
      <c r="C4" s="134"/>
      <c r="D4" s="134"/>
      <c r="E4" s="134"/>
      <c r="F4" s="134"/>
      <c r="G4" s="134"/>
      <c r="H4" s="134"/>
      <c r="I4" s="134"/>
      <c r="J4" s="134"/>
      <c r="K4" s="134"/>
      <c r="L4" s="134"/>
      <c r="M4" s="134"/>
      <c r="N4" s="134"/>
    </row>
    <row r="5" spans="1:14" x14ac:dyDescent="0.25">
      <c r="A5" s="132"/>
      <c r="B5" s="132"/>
      <c r="C5" s="132"/>
      <c r="D5" s="132"/>
      <c r="E5" s="132"/>
      <c r="F5" s="132"/>
      <c r="G5" s="132"/>
      <c r="H5" s="132"/>
      <c r="I5" s="132"/>
      <c r="J5" s="132"/>
      <c r="K5" s="132"/>
      <c r="L5" s="132"/>
      <c r="M5" s="132"/>
      <c r="N5" s="132"/>
    </row>
    <row r="6" spans="1:14" ht="24.6" x14ac:dyDescent="0.25">
      <c r="A6" s="131" t="s">
        <v>3</v>
      </c>
      <c r="B6" s="131"/>
      <c r="C6" s="131"/>
      <c r="D6" s="131"/>
      <c r="E6" s="131"/>
      <c r="F6" s="131"/>
      <c r="G6" s="131"/>
      <c r="H6" s="131"/>
      <c r="I6" s="131"/>
      <c r="J6" s="131"/>
      <c r="K6" s="131"/>
      <c r="L6" s="131"/>
      <c r="M6" s="131"/>
      <c r="N6" s="131"/>
    </row>
    <row r="7" spans="1:14" ht="24.6" x14ac:dyDescent="0.25">
      <c r="A7" s="131"/>
      <c r="B7" s="134" t="s">
        <v>4</v>
      </c>
      <c r="C7" s="134"/>
      <c r="D7" s="134"/>
      <c r="E7" s="134"/>
      <c r="F7" s="134"/>
      <c r="G7" s="134"/>
      <c r="H7" s="134"/>
      <c r="I7" s="134"/>
      <c r="J7" s="134"/>
      <c r="K7" s="134"/>
      <c r="L7" s="134"/>
      <c r="M7" s="134"/>
      <c r="N7" s="134"/>
    </row>
    <row r="8" spans="1:14" ht="24.6" x14ac:dyDescent="0.25">
      <c r="A8" s="131"/>
      <c r="B8" s="134" t="s">
        <v>5</v>
      </c>
      <c r="C8" s="134"/>
      <c r="D8" s="134"/>
      <c r="E8" s="134"/>
      <c r="F8" s="134"/>
      <c r="G8" s="134"/>
      <c r="H8" s="134"/>
      <c r="I8" s="134"/>
      <c r="J8" s="134"/>
      <c r="K8" s="134"/>
      <c r="L8" s="134"/>
      <c r="M8" s="134"/>
      <c r="N8" s="134"/>
    </row>
    <row r="9" spans="1:14" ht="24.6" x14ac:dyDescent="0.25">
      <c r="A9" s="131"/>
      <c r="B9" s="134"/>
      <c r="C9" s="134"/>
      <c r="D9" s="134"/>
      <c r="E9" s="134"/>
      <c r="F9" s="134"/>
      <c r="G9" s="134"/>
      <c r="H9" s="134"/>
      <c r="I9" s="134"/>
      <c r="J9" s="134"/>
      <c r="K9" s="134"/>
      <c r="L9" s="134"/>
      <c r="M9" s="134"/>
      <c r="N9" s="134"/>
    </row>
    <row r="10" spans="1:14" x14ac:dyDescent="0.25">
      <c r="A10" s="132"/>
      <c r="B10" s="132"/>
      <c r="C10" s="132"/>
      <c r="D10" s="132"/>
      <c r="E10" s="132"/>
      <c r="F10" s="132"/>
      <c r="G10" s="132"/>
      <c r="H10" s="132"/>
      <c r="I10" s="132"/>
      <c r="J10" s="132"/>
      <c r="K10" s="132"/>
      <c r="L10" s="132"/>
      <c r="M10" s="132"/>
      <c r="N10" s="132"/>
    </row>
    <row r="11" spans="1:14" ht="24.6" x14ac:dyDescent="0.25">
      <c r="A11" s="131" t="s">
        <v>6</v>
      </c>
      <c r="B11" s="131"/>
      <c r="C11" s="131"/>
      <c r="D11" s="131"/>
      <c r="E11" s="131"/>
      <c r="F11" s="131"/>
      <c r="G11" s="131"/>
      <c r="H11" s="131"/>
      <c r="I11" s="131"/>
      <c r="J11" s="131"/>
      <c r="K11" s="131"/>
      <c r="L11" s="131"/>
      <c r="M11" s="131"/>
      <c r="N11" s="131"/>
    </row>
    <row r="12" spans="1:14" ht="80.25" customHeight="1" x14ac:dyDescent="0.25">
      <c r="A12" s="131"/>
      <c r="B12" s="133" t="s">
        <v>7</v>
      </c>
      <c r="C12" s="133"/>
      <c r="D12" s="133"/>
      <c r="E12" s="133"/>
      <c r="F12" s="133"/>
      <c r="G12" s="133"/>
      <c r="H12" s="133"/>
      <c r="I12" s="133"/>
      <c r="J12" s="133"/>
      <c r="K12" s="133"/>
      <c r="L12" s="133"/>
      <c r="M12" s="133"/>
      <c r="N12" s="133"/>
    </row>
    <row r="13" spans="1:14" ht="54" customHeight="1" x14ac:dyDescent="0.25">
      <c r="A13" s="131"/>
      <c r="B13" s="133" t="s">
        <v>8</v>
      </c>
      <c r="C13" s="133"/>
      <c r="D13" s="133"/>
      <c r="E13" s="133"/>
      <c r="F13" s="133"/>
      <c r="G13" s="133"/>
      <c r="H13" s="133"/>
      <c r="I13" s="133"/>
      <c r="J13" s="133"/>
      <c r="K13" s="133"/>
      <c r="L13" s="133"/>
      <c r="M13" s="133"/>
      <c r="N13" s="133"/>
    </row>
    <row r="14" spans="1:14" x14ac:dyDescent="0.25">
      <c r="A14" s="132"/>
      <c r="B14" s="132"/>
      <c r="C14" s="132"/>
      <c r="D14" s="132"/>
      <c r="E14" s="132"/>
      <c r="F14" s="132"/>
      <c r="G14" s="132"/>
      <c r="H14" s="132"/>
      <c r="I14" s="132"/>
      <c r="J14" s="132"/>
      <c r="K14" s="132"/>
      <c r="L14" s="132"/>
      <c r="M14" s="132"/>
      <c r="N14" s="132"/>
    </row>
    <row r="15" spans="1:14" ht="48" customHeight="1" x14ac:dyDescent="0.25">
      <c r="A15" s="133" t="s">
        <v>9</v>
      </c>
      <c r="B15" s="133"/>
      <c r="C15" s="133"/>
      <c r="D15" s="133"/>
      <c r="E15" s="133"/>
      <c r="F15" s="133"/>
      <c r="G15" s="133"/>
      <c r="H15" s="133"/>
      <c r="I15" s="133"/>
      <c r="J15" s="133"/>
      <c r="K15" s="133"/>
      <c r="L15" s="133"/>
      <c r="M15" s="133"/>
      <c r="N15" s="133"/>
    </row>
    <row r="16" spans="1:14" x14ac:dyDescent="0.25">
      <c r="A16" s="132"/>
      <c r="B16" s="132"/>
      <c r="C16" s="132"/>
      <c r="D16" s="132"/>
      <c r="E16" s="132"/>
      <c r="F16" s="132"/>
      <c r="G16" s="132"/>
      <c r="H16" s="132"/>
      <c r="I16" s="132"/>
      <c r="J16" s="132"/>
      <c r="K16" s="132"/>
      <c r="L16" s="132"/>
      <c r="M16" s="132"/>
      <c r="N16" s="132"/>
    </row>
    <row r="17" spans="1:14" ht="49.5" customHeight="1" x14ac:dyDescent="0.25">
      <c r="A17" s="133" t="s">
        <v>10</v>
      </c>
      <c r="B17" s="133"/>
      <c r="C17" s="133"/>
      <c r="D17" s="133"/>
      <c r="E17" s="133"/>
      <c r="F17" s="133"/>
      <c r="G17" s="133"/>
      <c r="H17" s="133"/>
      <c r="I17" s="133"/>
      <c r="J17" s="133"/>
      <c r="K17" s="133"/>
      <c r="L17" s="133"/>
      <c r="M17" s="133"/>
      <c r="N17" s="133"/>
    </row>
    <row r="18" spans="1:14" x14ac:dyDescent="0.25">
      <c r="A18" s="132"/>
      <c r="B18" s="132"/>
      <c r="C18" s="132"/>
      <c r="D18" s="132"/>
      <c r="E18" s="132"/>
      <c r="F18" s="132"/>
      <c r="G18" s="132"/>
      <c r="H18" s="132"/>
      <c r="I18" s="132"/>
      <c r="J18" s="132"/>
      <c r="K18" s="132"/>
      <c r="L18" s="132"/>
      <c r="M18" s="132"/>
      <c r="N18" s="132"/>
    </row>
  </sheetData>
  <sheetProtection password="E59D" sheet="1" objects="1" scenarios="1" selectLockedCells="1" selectUnlockedCells="1"/>
  <mergeCells count="16">
    <mergeCell ref="A1:N1"/>
    <mergeCell ref="A2:N2"/>
    <mergeCell ref="A3:N3"/>
    <mergeCell ref="A4:N4"/>
    <mergeCell ref="A5:N5"/>
    <mergeCell ref="B7:N7"/>
    <mergeCell ref="B8:N8"/>
    <mergeCell ref="B9:N9"/>
    <mergeCell ref="A10:N10"/>
    <mergeCell ref="B12:N12"/>
    <mergeCell ref="A18:N18"/>
    <mergeCell ref="B13:N13"/>
    <mergeCell ref="A14:N14"/>
    <mergeCell ref="A15:N15"/>
    <mergeCell ref="A16:N16"/>
    <mergeCell ref="A17:N17"/>
  </mergeCells>
  <phoneticPr fontId="38" type="noConversion"/>
  <pageMargins left="0.75" right="0.75" top="1" bottom="1" header="0.5" footer="0.5"/>
  <pageSetup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34"/>
  <sheetViews>
    <sheetView tabSelected="1" topLeftCell="A309" zoomScale="145" zoomScaleNormal="145" workbookViewId="0">
      <selection activeCell="E326" sqref="E326"/>
    </sheetView>
  </sheetViews>
  <sheetFormatPr defaultColWidth="9.109375" defaultRowHeight="13.2" x14ac:dyDescent="0.25"/>
  <cols>
    <col min="1" max="1" width="75.109375" style="41" customWidth="1"/>
    <col min="2" max="2" width="21.6640625" style="41" customWidth="1"/>
    <col min="3" max="3" width="17.88671875" style="41" customWidth="1"/>
    <col min="4" max="4" width="10.109375" style="41" customWidth="1"/>
    <col min="5" max="5" width="14.109375" style="41" customWidth="1"/>
    <col min="6" max="16384" width="9.109375" style="41"/>
  </cols>
  <sheetData>
    <row r="1" spans="1:5" ht="69" customHeight="1" x14ac:dyDescent="0.25">
      <c r="A1" s="171" t="s">
        <v>11</v>
      </c>
      <c r="B1" s="172"/>
      <c r="C1" s="172"/>
      <c r="D1" s="172"/>
    </row>
    <row r="2" spans="1:5" x14ac:dyDescent="0.25">
      <c r="A2" s="173" t="s">
        <v>12</v>
      </c>
      <c r="B2" s="173"/>
      <c r="C2" s="173"/>
      <c r="D2" s="173"/>
    </row>
    <row r="3" spans="1:5" x14ac:dyDescent="0.25">
      <c r="A3" s="174" t="s">
        <v>13</v>
      </c>
      <c r="B3" s="175"/>
      <c r="C3" s="175"/>
      <c r="D3" s="176"/>
    </row>
    <row r="4" spans="1:5" x14ac:dyDescent="0.25">
      <c r="A4" s="139" t="s">
        <v>14</v>
      </c>
      <c r="B4" s="140"/>
      <c r="C4" s="140"/>
      <c r="D4" s="141"/>
    </row>
    <row r="5" spans="1:5" x14ac:dyDescent="0.25">
      <c r="A5" s="139"/>
      <c r="B5" s="140"/>
      <c r="C5" s="140"/>
      <c r="D5" s="141"/>
    </row>
    <row r="6" spans="1:5" x14ac:dyDescent="0.25">
      <c r="A6" s="142"/>
      <c r="B6" s="143"/>
      <c r="C6" s="143"/>
      <c r="D6" s="144"/>
    </row>
    <row r="7" spans="1:5" s="40" customFormat="1" ht="45.6" x14ac:dyDescent="0.25">
      <c r="A7" s="42" t="s">
        <v>15</v>
      </c>
      <c r="B7" s="43" t="s">
        <v>16</v>
      </c>
      <c r="C7" s="177" t="s">
        <v>17</v>
      </c>
      <c r="D7" s="177"/>
    </row>
    <row r="8" spans="1:5" ht="15.6" x14ac:dyDescent="0.25">
      <c r="A8" s="178" t="s">
        <v>18</v>
      </c>
      <c r="B8" s="178"/>
      <c r="C8" s="178"/>
      <c r="D8" s="178"/>
    </row>
    <row r="9" spans="1:5" x14ac:dyDescent="0.25">
      <c r="A9" s="151"/>
      <c r="B9" s="151"/>
      <c r="C9" s="151"/>
      <c r="D9" s="151"/>
    </row>
    <row r="10" spans="1:5" ht="17.399999999999999" x14ac:dyDescent="0.25">
      <c r="A10" s="152" t="s">
        <v>19</v>
      </c>
      <c r="B10" s="153"/>
      <c r="C10" s="153"/>
      <c r="D10" s="153"/>
    </row>
    <row r="11" spans="1:5" x14ac:dyDescent="0.25">
      <c r="A11" s="138"/>
      <c r="B11" s="138"/>
      <c r="C11" s="138"/>
      <c r="D11" s="138"/>
    </row>
    <row r="12" spans="1:5" ht="15.6" x14ac:dyDescent="0.25">
      <c r="A12" s="145" t="s">
        <v>20</v>
      </c>
      <c r="B12" s="146"/>
      <c r="C12" s="146"/>
      <c r="D12" s="147"/>
    </row>
    <row r="13" spans="1:5" ht="15.6" x14ac:dyDescent="0.25">
      <c r="A13" s="44" t="s">
        <v>21</v>
      </c>
      <c r="B13" s="45" t="s">
        <v>22</v>
      </c>
      <c r="C13" s="46">
        <v>100</v>
      </c>
      <c r="D13" s="47" t="s">
        <v>23</v>
      </c>
    </row>
    <row r="14" spans="1:5" ht="15.6" x14ac:dyDescent="0.25">
      <c r="A14" s="44" t="s">
        <v>24</v>
      </c>
      <c r="B14" s="45" t="s">
        <v>25</v>
      </c>
      <c r="C14" s="46">
        <v>85</v>
      </c>
      <c r="D14" s="47" t="s">
        <v>26</v>
      </c>
      <c r="E14" s="48" t="str">
        <f>IF(Vout&lt;=Vin_rect_max,"Output Voltage Must be Greater Than Maximum Rectified Input Voltage"," ")</f>
        <v xml:space="preserve"> </v>
      </c>
    </row>
    <row r="15" spans="1:5" ht="15.6" x14ac:dyDescent="0.25">
      <c r="A15" s="44" t="s">
        <v>27</v>
      </c>
      <c r="B15" s="45" t="s">
        <v>28</v>
      </c>
      <c r="C15" s="46">
        <v>0.99</v>
      </c>
      <c r="D15" s="47"/>
      <c r="E15" s="41" t="str">
        <f>IF(PF&gt;=1,"ENTER VALUE LESS THAN 1"," ")</f>
        <v/>
      </c>
    </row>
    <row r="16" spans="1:5" x14ac:dyDescent="0.25">
      <c r="A16" s="44" t="s">
        <v>29</v>
      </c>
      <c r="B16" s="49" t="s">
        <v>30</v>
      </c>
      <c r="C16" s="46">
        <v>0.99</v>
      </c>
      <c r="D16" s="47"/>
      <c r="E16" s="41" t="str">
        <f>IF(eff&gt;=1,"ENTER VALUE LESS THAN 1"," ")</f>
        <v/>
      </c>
    </row>
    <row r="17" spans="1:5" ht="15.6" x14ac:dyDescent="0.25">
      <c r="A17" s="50" t="s">
        <v>31</v>
      </c>
      <c r="B17" s="51" t="s">
        <v>32</v>
      </c>
      <c r="C17" s="46">
        <v>50</v>
      </c>
      <c r="D17" s="52" t="s">
        <v>33</v>
      </c>
    </row>
    <row r="18" spans="1:5" ht="15.6" x14ac:dyDescent="0.25">
      <c r="A18" s="53" t="s">
        <v>34</v>
      </c>
      <c r="B18" s="54" t="s">
        <v>35</v>
      </c>
      <c r="C18" s="55">
        <f>Pout/Vout</f>
        <v>1.1764705882352899</v>
      </c>
      <c r="D18" s="56" t="s">
        <v>36</v>
      </c>
    </row>
    <row r="19" spans="1:5" x14ac:dyDescent="0.25">
      <c r="A19" s="137"/>
      <c r="B19" s="137"/>
      <c r="C19" s="137"/>
      <c r="D19" s="137"/>
    </row>
    <row r="20" spans="1:5" x14ac:dyDescent="0.25">
      <c r="A20" s="138"/>
      <c r="B20" s="138"/>
      <c r="C20" s="138"/>
      <c r="D20" s="138"/>
    </row>
    <row r="21" spans="1:5" ht="15.6" x14ac:dyDescent="0.25">
      <c r="A21" s="145" t="s">
        <v>37</v>
      </c>
      <c r="B21" s="146"/>
      <c r="C21" s="146"/>
      <c r="D21" s="147"/>
    </row>
    <row r="22" spans="1:5" ht="15.6" x14ac:dyDescent="0.25">
      <c r="A22" s="44" t="s">
        <v>38</v>
      </c>
      <c r="B22" s="45" t="s">
        <v>39</v>
      </c>
      <c r="C22" s="46">
        <v>10</v>
      </c>
      <c r="D22" s="47" t="s">
        <v>40</v>
      </c>
    </row>
    <row r="23" spans="1:5" ht="15.6" x14ac:dyDescent="0.25">
      <c r="A23" s="44" t="s">
        <v>41</v>
      </c>
      <c r="B23" s="45" t="s">
        <v>42</v>
      </c>
      <c r="C23" s="46">
        <v>40</v>
      </c>
      <c r="D23" s="47" t="s">
        <v>40</v>
      </c>
    </row>
    <row r="24" spans="1:5" ht="15.6" x14ac:dyDescent="0.25">
      <c r="A24" s="44" t="s">
        <v>43</v>
      </c>
      <c r="B24" s="45" t="s">
        <v>44</v>
      </c>
      <c r="C24" s="46">
        <v>36</v>
      </c>
      <c r="D24" s="47" t="s">
        <v>40</v>
      </c>
      <c r="E24" s="57" t="s">
        <v>45</v>
      </c>
    </row>
    <row r="25" spans="1:5" ht="15.6" x14ac:dyDescent="0.25">
      <c r="A25" s="44" t="s">
        <v>46</v>
      </c>
      <c r="B25" s="45" t="s">
        <v>47</v>
      </c>
      <c r="C25" s="46">
        <v>47</v>
      </c>
      <c r="D25" s="47" t="s">
        <v>48</v>
      </c>
    </row>
    <row r="26" spans="1:5" ht="15.6" x14ac:dyDescent="0.25">
      <c r="A26" s="44" t="s">
        <v>49</v>
      </c>
      <c r="B26" s="45" t="s">
        <v>50</v>
      </c>
      <c r="C26" s="46">
        <v>60</v>
      </c>
      <c r="D26" s="47" t="s">
        <v>48</v>
      </c>
    </row>
    <row r="27" spans="1:5" ht="15.6" x14ac:dyDescent="0.25">
      <c r="A27" s="44" t="s">
        <v>51</v>
      </c>
      <c r="B27" s="45" t="s">
        <v>52</v>
      </c>
      <c r="C27" s="46">
        <v>50</v>
      </c>
      <c r="D27" s="47" t="s">
        <v>53</v>
      </c>
    </row>
    <row r="28" spans="1:5" ht="15.6" x14ac:dyDescent="0.25">
      <c r="A28" s="44" t="s">
        <v>54</v>
      </c>
      <c r="B28" s="45" t="s">
        <v>55</v>
      </c>
      <c r="C28" s="58">
        <f>SQRT(2)*Vin_min</f>
        <v>14.142135623730951</v>
      </c>
      <c r="D28" s="47" t="s">
        <v>26</v>
      </c>
    </row>
    <row r="29" spans="1:5" ht="15.6" x14ac:dyDescent="0.25">
      <c r="A29" s="44" t="s">
        <v>56</v>
      </c>
      <c r="B29" s="45" t="s">
        <v>57</v>
      </c>
      <c r="C29" s="58">
        <f>SQRT(2)*Vin_max</f>
        <v>56.568542494923804</v>
      </c>
      <c r="D29" s="47" t="s">
        <v>26</v>
      </c>
    </row>
    <row r="30" spans="1:5" ht="15.6" x14ac:dyDescent="0.25">
      <c r="A30" s="44" t="s">
        <v>58</v>
      </c>
      <c r="B30" s="45" t="s">
        <v>59</v>
      </c>
      <c r="C30" s="58">
        <f>Pout/eff</f>
        <v>101.010101010101</v>
      </c>
      <c r="D30" s="47" t="s">
        <v>23</v>
      </c>
    </row>
    <row r="31" spans="1:5" ht="15.6" x14ac:dyDescent="0.25">
      <c r="A31" s="44" t="s">
        <v>60</v>
      </c>
      <c r="B31" s="45" t="s">
        <v>61</v>
      </c>
      <c r="C31" s="58">
        <f>Pout/(eff*Vin_min*PF)</f>
        <v>10.20304050607081</v>
      </c>
      <c r="D31" s="47" t="s">
        <v>36</v>
      </c>
    </row>
    <row r="32" spans="1:5" ht="15.6" x14ac:dyDescent="0.25">
      <c r="A32" s="44" t="s">
        <v>62</v>
      </c>
      <c r="B32" s="45" t="s">
        <v>63</v>
      </c>
      <c r="C32" s="58">
        <f>SQRT(2)*Iin_rms_max</f>
        <v>14.429278261127388</v>
      </c>
      <c r="D32" s="47" t="s">
        <v>36</v>
      </c>
    </row>
    <row r="33" spans="1:5" ht="15.6" x14ac:dyDescent="0.25">
      <c r="A33" s="44" t="s">
        <v>64</v>
      </c>
      <c r="B33" s="45" t="s">
        <v>65</v>
      </c>
      <c r="C33" s="58">
        <f>(2*Iin_peak_max)/PI()</f>
        <v>9.1859638420274088</v>
      </c>
      <c r="D33" s="47" t="s">
        <v>36</v>
      </c>
    </row>
    <row r="34" spans="1:5" ht="15.6" x14ac:dyDescent="0.25">
      <c r="A34" s="59" t="s">
        <v>66</v>
      </c>
      <c r="B34" s="60" t="s">
        <v>67</v>
      </c>
      <c r="C34" s="55">
        <f>1.5*Iin_rms_max</f>
        <v>15.304560759106215</v>
      </c>
      <c r="D34" s="61" t="s">
        <v>36</v>
      </c>
    </row>
    <row r="35" spans="1:5" x14ac:dyDescent="0.25">
      <c r="A35" s="137"/>
      <c r="B35" s="137"/>
      <c r="C35" s="137"/>
      <c r="D35" s="137"/>
    </row>
    <row r="36" spans="1:5" x14ac:dyDescent="0.25">
      <c r="A36" s="138"/>
      <c r="B36" s="138"/>
      <c r="C36" s="138"/>
      <c r="D36" s="138"/>
    </row>
    <row r="37" spans="1:5" ht="15.6" x14ac:dyDescent="0.25">
      <c r="A37" s="145" t="s">
        <v>68</v>
      </c>
      <c r="B37" s="146"/>
      <c r="C37" s="146"/>
      <c r="D37" s="147"/>
    </row>
    <row r="38" spans="1:5" ht="15.6" x14ac:dyDescent="0.25">
      <c r="A38" s="50" t="s">
        <v>69</v>
      </c>
      <c r="B38" s="51" t="s">
        <v>70</v>
      </c>
      <c r="C38" s="46">
        <v>0.95</v>
      </c>
      <c r="D38" s="62" t="s">
        <v>26</v>
      </c>
    </row>
    <row r="39" spans="1:5" ht="15.6" x14ac:dyDescent="0.25">
      <c r="A39" s="50" t="s">
        <v>71</v>
      </c>
      <c r="B39" s="51" t="s">
        <v>72</v>
      </c>
      <c r="C39" s="46">
        <v>2.2000000000000002</v>
      </c>
      <c r="D39" s="52" t="s">
        <v>73</v>
      </c>
    </row>
    <row r="40" spans="1:5" ht="15.6" x14ac:dyDescent="0.25">
      <c r="A40" s="50" t="s">
        <v>74</v>
      </c>
      <c r="B40" s="51" t="s">
        <v>75</v>
      </c>
      <c r="C40" s="46">
        <v>125</v>
      </c>
      <c r="D40" s="52" t="s">
        <v>33</v>
      </c>
    </row>
    <row r="41" spans="1:5" ht="15.6" x14ac:dyDescent="0.25">
      <c r="A41" s="50" t="s">
        <v>76</v>
      </c>
      <c r="B41" s="51" t="s">
        <v>77</v>
      </c>
      <c r="C41" s="58">
        <f>1.5*Iin_avg_max</f>
        <v>13.778945763041113</v>
      </c>
      <c r="D41" s="62" t="s">
        <v>36</v>
      </c>
    </row>
    <row r="42" spans="1:5" ht="15.6" x14ac:dyDescent="0.25">
      <c r="A42" s="50" t="s">
        <v>78</v>
      </c>
      <c r="B42" s="51" t="s">
        <v>79</v>
      </c>
      <c r="C42" s="58">
        <f>Vin_rect_max*1.1</f>
        <v>62.225396744416187</v>
      </c>
      <c r="D42" s="62" t="s">
        <v>26</v>
      </c>
    </row>
    <row r="43" spans="1:5" ht="15.6" x14ac:dyDescent="0.25">
      <c r="A43" s="50" t="s">
        <v>80</v>
      </c>
      <c r="B43" s="51" t="s">
        <v>81</v>
      </c>
      <c r="C43" s="58">
        <f>2*Vf_bridge*Iin_avg_max</f>
        <v>17.453331299852074</v>
      </c>
      <c r="D43" s="62" t="s">
        <v>23</v>
      </c>
    </row>
    <row r="44" spans="1:5" ht="15.6" x14ac:dyDescent="0.25">
      <c r="A44" s="59" t="s">
        <v>82</v>
      </c>
      <c r="B44" s="60" t="s">
        <v>83</v>
      </c>
      <c r="C44" s="63">
        <f>((Tj_bridge-Tamb)/Pbridge)-Rjc_bridge-1</f>
        <v>1.0971739154825793</v>
      </c>
      <c r="D44" s="64" t="s">
        <v>73</v>
      </c>
    </row>
    <row r="45" spans="1:5" x14ac:dyDescent="0.25">
      <c r="A45" s="137"/>
      <c r="B45" s="137"/>
      <c r="C45" s="137"/>
      <c r="D45" s="137"/>
    </row>
    <row r="46" spans="1:5" x14ac:dyDescent="0.25">
      <c r="A46" s="138"/>
      <c r="B46" s="138"/>
      <c r="C46" s="138"/>
      <c r="D46" s="138"/>
    </row>
    <row r="47" spans="1:5" ht="15.6" x14ac:dyDescent="0.25">
      <c r="A47" s="148" t="s">
        <v>84</v>
      </c>
      <c r="B47" s="149"/>
      <c r="C47" s="149"/>
      <c r="D47" s="150"/>
    </row>
    <row r="48" spans="1:5" ht="15.6" x14ac:dyDescent="0.25">
      <c r="A48" s="44" t="s">
        <v>85</v>
      </c>
      <c r="B48" s="45" t="s">
        <v>86</v>
      </c>
      <c r="C48" s="46">
        <v>0.4</v>
      </c>
      <c r="D48" s="47"/>
      <c r="E48" s="41" t="str">
        <f>IF(L_I_ripple_factor&gt;=1,"INDUCTOR CURRENT MUST REMAIN CONTINUOUS, ENTER A SMALLER RIPPLE FACTOR"," ")</f>
        <v/>
      </c>
    </row>
    <row r="49" spans="1:4" ht="15.6" x14ac:dyDescent="0.25">
      <c r="A49" s="44" t="s">
        <v>87</v>
      </c>
      <c r="B49" s="45" t="s">
        <v>88</v>
      </c>
      <c r="C49" s="46">
        <v>0.06</v>
      </c>
      <c r="D49" s="47"/>
    </row>
    <row r="50" spans="1:4" ht="15.6" x14ac:dyDescent="0.25">
      <c r="A50" s="44" t="s">
        <v>89</v>
      </c>
      <c r="B50" s="10" t="s">
        <v>90</v>
      </c>
      <c r="C50" s="58">
        <f>L_I_ripple_factor*Iin_peak_max</f>
        <v>5.7717113044509558</v>
      </c>
      <c r="D50" s="47" t="s">
        <v>36</v>
      </c>
    </row>
    <row r="51" spans="1:4" ht="15.6" x14ac:dyDescent="0.25">
      <c r="A51" s="44" t="s">
        <v>91</v>
      </c>
      <c r="B51" s="45" t="s">
        <v>92</v>
      </c>
      <c r="C51" s="58">
        <f>V_ripplefactor*Vin_rect_min</f>
        <v>0.84852813742385702</v>
      </c>
      <c r="D51" s="47" t="s">
        <v>26</v>
      </c>
    </row>
    <row r="52" spans="1:4" ht="15.75" customHeight="1" x14ac:dyDescent="0.25">
      <c r="A52" s="65" t="s">
        <v>93</v>
      </c>
      <c r="B52" s="66" t="s">
        <v>94</v>
      </c>
      <c r="C52" s="67">
        <f>((L_I_ripple_factor*Iin_peak_max)/(8*fsw*Vin_ripple))/uF</f>
        <v>13.080821161629247</v>
      </c>
      <c r="D52" s="68" t="s">
        <v>95</v>
      </c>
    </row>
    <row r="53" spans="1:4" x14ac:dyDescent="0.25">
      <c r="A53" s="137"/>
      <c r="B53" s="137"/>
      <c r="C53" s="137"/>
      <c r="D53" s="137"/>
    </row>
    <row r="54" spans="1:4" x14ac:dyDescent="0.25">
      <c r="A54" s="138"/>
      <c r="B54" s="138"/>
      <c r="C54" s="138"/>
      <c r="D54" s="138"/>
    </row>
    <row r="55" spans="1:4" ht="15.6" x14ac:dyDescent="0.25">
      <c r="A55" s="148" t="s">
        <v>96</v>
      </c>
      <c r="B55" s="149"/>
      <c r="C55" s="149"/>
      <c r="D55" s="150"/>
    </row>
    <row r="56" spans="1:4" ht="15.6" x14ac:dyDescent="0.25">
      <c r="A56" s="44" t="s">
        <v>97</v>
      </c>
      <c r="B56" s="45" t="s">
        <v>98</v>
      </c>
      <c r="C56" s="58">
        <f>(Vout-Vin_rect_min)/Vout</f>
        <v>0.83362193383845939</v>
      </c>
      <c r="D56" s="47"/>
    </row>
    <row r="57" spans="1:4" ht="15.6" x14ac:dyDescent="0.25">
      <c r="A57" s="44" t="s">
        <v>99</v>
      </c>
      <c r="B57" s="45" t="s">
        <v>100</v>
      </c>
      <c r="C57" s="58">
        <f>Iin_peak_max+(Iripple/2)</f>
        <v>17.315133913352867</v>
      </c>
      <c r="D57" s="47" t="s">
        <v>36</v>
      </c>
    </row>
    <row r="58" spans="1:4" ht="15.6" x14ac:dyDescent="0.25">
      <c r="A58" s="69" t="s">
        <v>101</v>
      </c>
      <c r="B58" s="70" t="s">
        <v>102</v>
      </c>
      <c r="C58" s="71">
        <f>((Vout*0.5*(1-0.5))/(fsw*Iripple))/mH</f>
        <v>5.6642312769691811E-2</v>
      </c>
      <c r="D58" s="72" t="s">
        <v>103</v>
      </c>
    </row>
    <row r="59" spans="1:4" ht="15.6" x14ac:dyDescent="0.25">
      <c r="A59" s="44" t="s">
        <v>104</v>
      </c>
      <c r="B59" s="45" t="s">
        <v>105</v>
      </c>
      <c r="C59" s="46">
        <v>0.47</v>
      </c>
      <c r="D59" s="47" t="s">
        <v>103</v>
      </c>
    </row>
    <row r="60" spans="1:4" ht="15.6" x14ac:dyDescent="0.25">
      <c r="A60" s="44" t="s">
        <v>106</v>
      </c>
      <c r="B60" s="10" t="s">
        <v>107</v>
      </c>
      <c r="C60" s="73">
        <f>(Vout*0.5*(1-0.5))/((fsw)*(Lbst*mH))</f>
        <v>0.69558101472995104</v>
      </c>
      <c r="D60" s="47" t="s">
        <v>36</v>
      </c>
    </row>
    <row r="61" spans="1:4" ht="15.6" x14ac:dyDescent="0.25">
      <c r="A61" s="53" t="s">
        <v>108</v>
      </c>
      <c r="B61" s="54" t="s">
        <v>109</v>
      </c>
      <c r="C61" s="63">
        <f>Iin_peak_max+Iripple_actual/2</f>
        <v>14.777068768492363</v>
      </c>
      <c r="D61" s="56" t="s">
        <v>36</v>
      </c>
    </row>
    <row r="62" spans="1:4" x14ac:dyDescent="0.25">
      <c r="A62" s="137"/>
      <c r="B62" s="137"/>
      <c r="C62" s="137"/>
      <c r="D62" s="137"/>
    </row>
    <row r="63" spans="1:4" x14ac:dyDescent="0.25">
      <c r="A63" s="138"/>
      <c r="B63" s="138"/>
      <c r="C63" s="138"/>
      <c r="D63" s="138"/>
    </row>
    <row r="64" spans="1:4" ht="15.6" x14ac:dyDescent="0.25">
      <c r="A64" s="145" t="s">
        <v>110</v>
      </c>
      <c r="B64" s="146"/>
      <c r="C64" s="146"/>
      <c r="D64" s="147"/>
    </row>
    <row r="65" spans="1:4" ht="15.6" x14ac:dyDescent="0.25">
      <c r="A65" s="44" t="s">
        <v>111</v>
      </c>
      <c r="B65" s="45" t="s">
        <v>112</v>
      </c>
      <c r="C65" s="46">
        <v>1.5</v>
      </c>
      <c r="D65" s="47" t="s">
        <v>26</v>
      </c>
    </row>
    <row r="66" spans="1:4" ht="15.6" x14ac:dyDescent="0.25">
      <c r="A66" s="44" t="s">
        <v>113</v>
      </c>
      <c r="B66" s="45" t="s">
        <v>114</v>
      </c>
      <c r="C66" s="46">
        <v>0</v>
      </c>
      <c r="D66" s="47" t="s">
        <v>115</v>
      </c>
    </row>
    <row r="67" spans="1:4" ht="15.6" x14ac:dyDescent="0.25">
      <c r="A67" s="50" t="s">
        <v>116</v>
      </c>
      <c r="B67" s="51" t="s">
        <v>75</v>
      </c>
      <c r="C67" s="46">
        <v>125</v>
      </c>
      <c r="D67" s="52" t="s">
        <v>33</v>
      </c>
    </row>
    <row r="68" spans="1:4" ht="15.6" x14ac:dyDescent="0.25">
      <c r="A68" s="50" t="s">
        <v>117</v>
      </c>
      <c r="B68" s="51" t="s">
        <v>118</v>
      </c>
      <c r="C68" s="46">
        <v>2.4</v>
      </c>
      <c r="D68" s="52" t="s">
        <v>73</v>
      </c>
    </row>
    <row r="69" spans="1:4" ht="15.6" x14ac:dyDescent="0.25">
      <c r="A69" s="50" t="s">
        <v>119</v>
      </c>
      <c r="B69" s="51" t="s">
        <v>120</v>
      </c>
      <c r="C69" s="46">
        <v>1</v>
      </c>
      <c r="D69" s="52" t="s">
        <v>73</v>
      </c>
    </row>
    <row r="70" spans="1:4" ht="15.6" x14ac:dyDescent="0.25">
      <c r="A70" s="44" t="s">
        <v>121</v>
      </c>
      <c r="B70" s="45" t="s">
        <v>122</v>
      </c>
      <c r="C70" s="58">
        <f>Vf*Iout</f>
        <v>1.76470588235294</v>
      </c>
      <c r="D70" s="47" t="s">
        <v>23</v>
      </c>
    </row>
    <row r="71" spans="1:4" ht="15.6" x14ac:dyDescent="0.25">
      <c r="A71" s="44" t="s">
        <v>123</v>
      </c>
      <c r="B71" s="45" t="s">
        <v>124</v>
      </c>
      <c r="C71" s="58">
        <f>(fsw)*Vout*(Qrr*nC)</f>
        <v>0</v>
      </c>
      <c r="D71" s="47" t="s">
        <v>23</v>
      </c>
    </row>
    <row r="72" spans="1:4" ht="15.6" x14ac:dyDescent="0.25">
      <c r="A72" s="44" t="s">
        <v>125</v>
      </c>
      <c r="B72" s="45" t="s">
        <v>126</v>
      </c>
      <c r="C72" s="58">
        <f>Pdiode_cond+(Pdiode_reverse/2)</f>
        <v>1.76470588235294</v>
      </c>
      <c r="D72" s="47" t="s">
        <v>23</v>
      </c>
    </row>
    <row r="73" spans="1:4" ht="15.6" x14ac:dyDescent="0.25">
      <c r="A73" s="59" t="s">
        <v>82</v>
      </c>
      <c r="B73" s="60" t="s">
        <v>127</v>
      </c>
      <c r="C73" s="63">
        <f>((Tj_diode-Tamb)/Pdiode)-Rth_diode-Rth_case_hs</f>
        <v>39.1</v>
      </c>
      <c r="D73" s="64" t="s">
        <v>73</v>
      </c>
    </row>
    <row r="74" spans="1:4" x14ac:dyDescent="0.25">
      <c r="A74" s="137"/>
      <c r="B74" s="137"/>
      <c r="C74" s="137"/>
      <c r="D74" s="137"/>
    </row>
    <row r="75" spans="1:4" x14ac:dyDescent="0.25">
      <c r="A75" s="138"/>
      <c r="B75" s="138"/>
      <c r="C75" s="138"/>
      <c r="D75" s="138"/>
    </row>
    <row r="76" spans="1:4" ht="15.6" x14ac:dyDescent="0.25">
      <c r="A76" s="145" t="s">
        <v>128</v>
      </c>
      <c r="B76" s="146"/>
      <c r="C76" s="146"/>
      <c r="D76" s="147"/>
    </row>
    <row r="77" spans="1:4" x14ac:dyDescent="0.25">
      <c r="A77" s="44" t="s">
        <v>129</v>
      </c>
      <c r="B77" s="45" t="s">
        <v>130</v>
      </c>
      <c r="C77" s="46">
        <v>12</v>
      </c>
      <c r="D77" s="47" t="s">
        <v>26</v>
      </c>
    </row>
    <row r="78" spans="1:4" ht="15.6" x14ac:dyDescent="0.25">
      <c r="A78" s="44" t="s">
        <v>131</v>
      </c>
      <c r="B78" s="45" t="s">
        <v>132</v>
      </c>
      <c r="C78" s="74">
        <f>IF(VCC&gt;=13.75,12.5,VCC-1.25)</f>
        <v>10.75</v>
      </c>
      <c r="D78" s="47" t="s">
        <v>26</v>
      </c>
    </row>
    <row r="79" spans="1:4" ht="15.6" x14ac:dyDescent="0.25">
      <c r="A79" s="44" t="s">
        <v>133</v>
      </c>
      <c r="B79" s="45" t="s">
        <v>134</v>
      </c>
      <c r="C79" s="58">
        <f>(Pout/Vin_rect_min)*SQRT((2-(16*Vin_rect_min/(3*PI()*Vout))))</f>
        <v>9.2670055098237754</v>
      </c>
      <c r="D79" s="47" t="s">
        <v>36</v>
      </c>
    </row>
    <row r="80" spans="1:4" ht="15.6" x14ac:dyDescent="0.25">
      <c r="A80" s="44" t="s">
        <v>135</v>
      </c>
      <c r="B80" s="45" t="s">
        <v>136</v>
      </c>
      <c r="C80" s="46">
        <v>0.35</v>
      </c>
      <c r="D80" s="52" t="s">
        <v>23</v>
      </c>
    </row>
    <row r="81" spans="1:9" ht="15.6" x14ac:dyDescent="0.25">
      <c r="A81" s="44" t="s">
        <v>137</v>
      </c>
      <c r="B81" s="45" t="s">
        <v>138</v>
      </c>
      <c r="C81" s="46">
        <v>87</v>
      </c>
      <c r="D81" s="47" t="s">
        <v>115</v>
      </c>
    </row>
    <row r="82" spans="1:9" ht="15.6" x14ac:dyDescent="0.25">
      <c r="A82" s="44" t="s">
        <v>139</v>
      </c>
      <c r="B82" s="45" t="s">
        <v>140</v>
      </c>
      <c r="C82" s="46">
        <v>4.5</v>
      </c>
      <c r="D82" s="47" t="s">
        <v>141</v>
      </c>
    </row>
    <row r="83" spans="1:9" ht="15.6" x14ac:dyDescent="0.25">
      <c r="A83" s="44" t="s">
        <v>142</v>
      </c>
      <c r="B83" s="45" t="s">
        <v>143</v>
      </c>
      <c r="C83" s="46">
        <v>5</v>
      </c>
      <c r="D83" s="47" t="s">
        <v>141</v>
      </c>
    </row>
    <row r="84" spans="1:9" ht="15.6" x14ac:dyDescent="0.25">
      <c r="A84" s="44" t="s">
        <v>144</v>
      </c>
      <c r="B84" s="45" t="s">
        <v>145</v>
      </c>
      <c r="C84" s="46">
        <v>780</v>
      </c>
      <c r="D84" s="47" t="s">
        <v>146</v>
      </c>
    </row>
    <row r="85" spans="1:9" ht="15.6" x14ac:dyDescent="0.25">
      <c r="A85" s="50" t="s">
        <v>147</v>
      </c>
      <c r="B85" s="51" t="s">
        <v>75</v>
      </c>
      <c r="C85" s="46">
        <v>125</v>
      </c>
      <c r="D85" s="52" t="s">
        <v>33</v>
      </c>
    </row>
    <row r="86" spans="1:9" ht="15.6" x14ac:dyDescent="0.25">
      <c r="A86" s="50" t="s">
        <v>148</v>
      </c>
      <c r="B86" s="51" t="s">
        <v>149</v>
      </c>
      <c r="C86" s="46">
        <v>0.6</v>
      </c>
      <c r="D86" s="52" t="s">
        <v>73</v>
      </c>
    </row>
    <row r="87" spans="1:9" ht="15.6" x14ac:dyDescent="0.25">
      <c r="A87" s="44" t="s">
        <v>150</v>
      </c>
      <c r="B87" s="45" t="s">
        <v>151</v>
      </c>
      <c r="C87" s="58">
        <f>Vgs*Qg*(nC)*fsw</f>
        <v>6.0791249999999998E-2</v>
      </c>
      <c r="D87" s="47" t="s">
        <v>23</v>
      </c>
    </row>
    <row r="88" spans="1:9" ht="15.6" x14ac:dyDescent="0.25">
      <c r="A88" s="44" t="s">
        <v>152</v>
      </c>
      <c r="B88" s="45" t="s">
        <v>153</v>
      </c>
      <c r="C88" s="58">
        <f>(Ids_rms^2)*(Rds_on)</f>
        <v>30.057086891686474</v>
      </c>
      <c r="D88" s="47" t="s">
        <v>23</v>
      </c>
    </row>
    <row r="89" spans="1:9" ht="15.6" x14ac:dyDescent="0.25">
      <c r="A89" s="44" t="s">
        <v>154</v>
      </c>
      <c r="B89" s="45" t="s">
        <v>155</v>
      </c>
      <c r="C89" s="58">
        <f>((fsw)/2)*(((tr_FET+tf_FET)*ns*Vout*Iin_peak_max)+(Coss*picoF*Vout^2))+(Pdiode_reverse/2)</f>
        <v>0.5618321213654619</v>
      </c>
      <c r="D89" s="47" t="s">
        <v>23</v>
      </c>
    </row>
    <row r="90" spans="1:9" ht="15.6" x14ac:dyDescent="0.25">
      <c r="A90" s="44" t="s">
        <v>156</v>
      </c>
      <c r="B90" s="45" t="s">
        <v>157</v>
      </c>
      <c r="C90" s="58">
        <f>P_FETcond+P_FETsw</f>
        <v>30.618919013051936</v>
      </c>
      <c r="D90" s="47" t="s">
        <v>23</v>
      </c>
    </row>
    <row r="91" spans="1:9" ht="15.6" x14ac:dyDescent="0.25">
      <c r="A91" s="59" t="s">
        <v>82</v>
      </c>
      <c r="B91" s="60" t="s">
        <v>158</v>
      </c>
      <c r="C91" s="63">
        <f>((Tj_FET-Tamb)/P_FET)-Rth_jc_FET-1</f>
        <v>0.84946596475302494</v>
      </c>
      <c r="D91" s="64" t="s">
        <v>73</v>
      </c>
    </row>
    <row r="92" spans="1:9" x14ac:dyDescent="0.25">
      <c r="A92" s="137"/>
      <c r="B92" s="137"/>
      <c r="C92" s="137"/>
      <c r="D92" s="137"/>
      <c r="F92" s="75"/>
      <c r="G92" s="75"/>
      <c r="H92" s="75"/>
      <c r="I92" s="75"/>
    </row>
    <row r="93" spans="1:9" x14ac:dyDescent="0.25">
      <c r="A93" s="138"/>
      <c r="B93" s="138"/>
      <c r="C93" s="138"/>
      <c r="D93" s="138"/>
      <c r="F93" s="75"/>
      <c r="G93" s="76"/>
      <c r="H93" s="76"/>
      <c r="I93" s="75"/>
    </row>
    <row r="94" spans="1:9" ht="15.6" x14ac:dyDescent="0.25">
      <c r="A94" s="145" t="s">
        <v>159</v>
      </c>
      <c r="B94" s="146"/>
      <c r="C94" s="146"/>
      <c r="D94" s="147"/>
      <c r="F94" s="75"/>
      <c r="G94" s="76"/>
      <c r="H94" s="76"/>
      <c r="I94" s="75"/>
    </row>
    <row r="95" spans="1:9" ht="15.6" x14ac:dyDescent="0.25">
      <c r="A95" s="69" t="s">
        <v>160</v>
      </c>
      <c r="B95" s="70" t="s">
        <v>161</v>
      </c>
      <c r="C95" s="71">
        <f>Visense_soc/(I_Lpeak*1.25)</f>
        <v>3.0493555674601144E-2</v>
      </c>
      <c r="D95" s="77" t="s">
        <v>23</v>
      </c>
      <c r="F95" s="75"/>
      <c r="G95" s="76"/>
      <c r="H95" s="76"/>
      <c r="I95" s="75"/>
    </row>
    <row r="96" spans="1:9" ht="15.6" x14ac:dyDescent="0.25">
      <c r="A96" s="44" t="s">
        <v>162</v>
      </c>
      <c r="B96" s="45" t="s">
        <v>163</v>
      </c>
      <c r="C96" s="78">
        <v>0.02</v>
      </c>
      <c r="D96" s="52" t="s">
        <v>23</v>
      </c>
      <c r="F96" s="75"/>
      <c r="G96" s="76"/>
      <c r="H96" s="76"/>
      <c r="I96" s="75"/>
    </row>
    <row r="97" spans="1:9" ht="15.6" x14ac:dyDescent="0.25">
      <c r="A97" s="44" t="s">
        <v>164</v>
      </c>
      <c r="B97" s="45" t="s">
        <v>165</v>
      </c>
      <c r="C97" s="58">
        <f>Visense_soc/Rsense</f>
        <v>33</v>
      </c>
      <c r="D97" s="47" t="s">
        <v>36</v>
      </c>
      <c r="F97" s="75"/>
      <c r="G97" s="76"/>
      <c r="H97" s="76"/>
      <c r="I97" s="75"/>
    </row>
    <row r="98" spans="1:9" ht="15.6" x14ac:dyDescent="0.25">
      <c r="A98" s="44" t="s">
        <v>166</v>
      </c>
      <c r="B98" s="45" t="s">
        <v>167</v>
      </c>
      <c r="C98" s="58">
        <f>(Iin_rms_max^2)*Rsense</f>
        <v>2.0820407113704338</v>
      </c>
      <c r="D98" s="47" t="s">
        <v>23</v>
      </c>
      <c r="F98" s="75"/>
      <c r="G98" s="76"/>
      <c r="H98" s="76"/>
      <c r="I98" s="75"/>
    </row>
    <row r="99" spans="1:9" ht="15.6" x14ac:dyDescent="0.25">
      <c r="A99" s="44" t="s">
        <v>168</v>
      </c>
      <c r="B99" s="45" t="s">
        <v>169</v>
      </c>
      <c r="C99" s="58">
        <f>(((Isoc-(Iripple_actual/2))*Vin_min*PF)/SQRT(2))/(eff*Vout)</f>
        <v>2.7163057356430569</v>
      </c>
      <c r="D99" s="47" t="s">
        <v>36</v>
      </c>
      <c r="F99" s="75"/>
      <c r="G99" s="76"/>
      <c r="H99" s="76"/>
      <c r="I99" s="75"/>
    </row>
    <row r="100" spans="1:9" ht="15.6" x14ac:dyDescent="0.25">
      <c r="A100" s="44" t="s">
        <v>170</v>
      </c>
      <c r="B100" s="45" t="s">
        <v>171</v>
      </c>
      <c r="C100" s="58">
        <f>Vpcl_max/Rsense</f>
        <v>57.499999999999993</v>
      </c>
      <c r="D100" s="47" t="s">
        <v>36</v>
      </c>
      <c r="F100" s="75"/>
      <c r="G100" s="76"/>
      <c r="H100" s="76"/>
      <c r="I100" s="75"/>
    </row>
    <row r="101" spans="1:9" ht="15.6" x14ac:dyDescent="0.25">
      <c r="A101" s="44" t="s">
        <v>172</v>
      </c>
      <c r="B101" s="45" t="s">
        <v>173</v>
      </c>
      <c r="C101" s="46">
        <v>5</v>
      </c>
      <c r="D101" s="52" t="s">
        <v>23</v>
      </c>
      <c r="F101" s="75"/>
      <c r="G101" s="76"/>
      <c r="H101" s="76"/>
      <c r="I101" s="75"/>
    </row>
    <row r="102" spans="1:9" ht="15.6" x14ac:dyDescent="0.25">
      <c r="A102" s="44" t="s">
        <v>174</v>
      </c>
      <c r="B102" s="45" t="s">
        <v>175</v>
      </c>
      <c r="C102" s="58">
        <f>Vin_rect_max/Rtherm</f>
        <v>11.313708498984761</v>
      </c>
      <c r="D102" s="47" t="s">
        <v>36</v>
      </c>
      <c r="F102" s="75"/>
      <c r="G102" s="76"/>
      <c r="H102" s="76"/>
      <c r="I102" s="75"/>
    </row>
    <row r="103" spans="1:9" ht="15.6" x14ac:dyDescent="0.25">
      <c r="A103" s="69" t="s">
        <v>176</v>
      </c>
      <c r="B103" s="70" t="s">
        <v>177</v>
      </c>
      <c r="C103" s="71">
        <f>Iinrush*Rsense/IISENSE</f>
        <v>10.285189544531603</v>
      </c>
      <c r="D103" s="77" t="s">
        <v>23</v>
      </c>
      <c r="F103" s="75"/>
      <c r="G103" s="76"/>
      <c r="H103" s="76"/>
      <c r="I103" s="75"/>
    </row>
    <row r="104" spans="1:9" ht="15.6" x14ac:dyDescent="0.25">
      <c r="A104" s="79" t="s">
        <v>178</v>
      </c>
      <c r="B104" s="10" t="s">
        <v>179</v>
      </c>
      <c r="C104" s="80">
        <v>10</v>
      </c>
      <c r="D104" s="52" t="s">
        <v>23</v>
      </c>
      <c r="F104" s="75"/>
      <c r="G104" s="76"/>
      <c r="H104" s="76"/>
      <c r="I104" s="75"/>
    </row>
    <row r="105" spans="1:9" ht="15.6" x14ac:dyDescent="0.25">
      <c r="A105" s="65" t="s">
        <v>180</v>
      </c>
      <c r="B105" s="81" t="s">
        <v>181</v>
      </c>
      <c r="C105" s="82">
        <f>(1/(20*fsw*PI()*Risense_actual))/picoF</f>
        <v>24485.375860291591</v>
      </c>
      <c r="D105" s="83" t="s">
        <v>146</v>
      </c>
      <c r="F105" s="75"/>
      <c r="G105" s="76"/>
      <c r="H105" s="76"/>
      <c r="I105" s="75"/>
    </row>
    <row r="106" spans="1:9" x14ac:dyDescent="0.25">
      <c r="A106" s="137"/>
      <c r="B106" s="137"/>
      <c r="C106" s="137"/>
      <c r="D106" s="137"/>
      <c r="F106" s="75"/>
      <c r="G106" s="76"/>
      <c r="H106" s="76"/>
      <c r="I106" s="75"/>
    </row>
    <row r="107" spans="1:9" x14ac:dyDescent="0.25">
      <c r="A107" s="138"/>
      <c r="B107" s="138"/>
      <c r="C107" s="138"/>
      <c r="D107" s="138"/>
      <c r="F107" s="75"/>
      <c r="G107" s="76"/>
      <c r="H107" s="76"/>
      <c r="I107" s="75"/>
    </row>
    <row r="108" spans="1:9" ht="15.6" x14ac:dyDescent="0.25">
      <c r="A108" s="145" t="s">
        <v>182</v>
      </c>
      <c r="B108" s="146"/>
      <c r="C108" s="146"/>
      <c r="D108" s="147"/>
      <c r="F108" s="75"/>
      <c r="G108" s="76"/>
      <c r="H108" s="76"/>
      <c r="I108" s="75"/>
    </row>
    <row r="109" spans="1:9" ht="15.6" x14ac:dyDescent="0.25">
      <c r="A109" s="44" t="s">
        <v>183</v>
      </c>
      <c r="B109" s="45" t="s">
        <v>184</v>
      </c>
      <c r="C109" s="46">
        <v>85</v>
      </c>
      <c r="D109" s="47" t="s">
        <v>26</v>
      </c>
      <c r="F109" s="75"/>
      <c r="G109" s="76"/>
      <c r="H109" s="76"/>
      <c r="I109" s="75"/>
    </row>
    <row r="110" spans="1:9" ht="15.6" x14ac:dyDescent="0.25">
      <c r="A110" s="44" t="s">
        <v>185</v>
      </c>
      <c r="B110" s="45" t="s">
        <v>186</v>
      </c>
      <c r="C110" s="46">
        <v>1</v>
      </c>
      <c r="D110" s="47"/>
      <c r="F110" s="75"/>
      <c r="G110" s="76"/>
      <c r="H110" s="76"/>
      <c r="I110" s="75"/>
    </row>
    <row r="111" spans="1:9" ht="15.6" x14ac:dyDescent="0.25">
      <c r="A111" s="44" t="s">
        <v>187</v>
      </c>
      <c r="B111" s="45" t="s">
        <v>188</v>
      </c>
      <c r="C111" s="84">
        <f>Ndropout*((1/fline_min)/ms)</f>
        <v>21.2765957446809</v>
      </c>
      <c r="D111" s="47" t="s">
        <v>189</v>
      </c>
      <c r="F111" s="75"/>
      <c r="G111" s="76"/>
      <c r="H111" s="76"/>
      <c r="I111" s="75"/>
    </row>
    <row r="112" spans="1:9" ht="15.6" x14ac:dyDescent="0.25">
      <c r="A112" s="69" t="s">
        <v>190</v>
      </c>
      <c r="B112" s="70" t="s">
        <v>191</v>
      </c>
      <c r="C112" s="71" t="e">
        <f>(((2*Pout*t_dropout_hu*ms)/((Vout^2)-(Vout_holdup^2))))/uF</f>
        <v>#DIV/0!</v>
      </c>
      <c r="D112" s="77" t="s">
        <v>95</v>
      </c>
      <c r="F112" s="75"/>
      <c r="G112" s="76"/>
      <c r="H112" s="76"/>
      <c r="I112" s="75"/>
    </row>
    <row r="113" spans="1:9" ht="15.6" x14ac:dyDescent="0.25">
      <c r="A113" s="44" t="s">
        <v>192</v>
      </c>
      <c r="B113" s="45" t="s">
        <v>193</v>
      </c>
      <c r="C113" s="85">
        <v>2200</v>
      </c>
      <c r="D113" s="52" t="s">
        <v>194</v>
      </c>
      <c r="F113" s="75"/>
      <c r="G113" s="76"/>
      <c r="H113" s="76"/>
      <c r="I113" s="75"/>
    </row>
    <row r="114" spans="1:9" ht="15.6" x14ac:dyDescent="0.25">
      <c r="A114" s="44" t="s">
        <v>195</v>
      </c>
      <c r="B114" s="45" t="s">
        <v>196</v>
      </c>
      <c r="C114" s="58">
        <f>Iout/(PI()*2*fline_min*Cout*uF)</f>
        <v>1.81084245183633</v>
      </c>
      <c r="D114" s="47" t="s">
        <v>26</v>
      </c>
      <c r="F114" s="75"/>
      <c r="G114" s="76"/>
      <c r="H114" s="76"/>
      <c r="I114" s="75"/>
    </row>
    <row r="115" spans="1:9" x14ac:dyDescent="0.25">
      <c r="A115" s="168" t="str">
        <f>IF(Vout_ripplepp&gt;=0.04*Vout,"OUTPUT CAPACITOR must be sized larger so OVP/UVD is not triggered","Good! Output voltage peak-peak ripple is less than 5% VOUT")</f>
        <v>Good! Output voltage peak-peak ripple is less than 5% VOUT</v>
      </c>
      <c r="B115" s="169"/>
      <c r="C115" s="169"/>
      <c r="D115" s="170"/>
      <c r="F115" s="75"/>
      <c r="G115" s="76"/>
      <c r="H115" s="76"/>
      <c r="I115" s="75"/>
    </row>
    <row r="116" spans="1:9" ht="15.6" x14ac:dyDescent="0.25">
      <c r="A116" s="44" t="s">
        <v>197</v>
      </c>
      <c r="B116" s="45" t="s">
        <v>198</v>
      </c>
      <c r="C116" s="58">
        <f>Iout/SQRT(2)</f>
        <v>0.83189033080770303</v>
      </c>
      <c r="D116" s="47" t="s">
        <v>199</v>
      </c>
      <c r="F116" s="75"/>
      <c r="G116" s="76"/>
      <c r="H116" s="76"/>
      <c r="I116" s="75"/>
    </row>
    <row r="117" spans="1:9" ht="15.6" x14ac:dyDescent="0.25">
      <c r="A117" s="44" t="s">
        <v>200</v>
      </c>
      <c r="B117" s="45" t="s">
        <v>201</v>
      </c>
      <c r="C117" s="58">
        <f>Iout*SQRT(((16*Vout)/(3*PI()*Vin_rect_min))-1.5)</f>
        <v>3.4708045628386577</v>
      </c>
      <c r="D117" s="47" t="s">
        <v>199</v>
      </c>
      <c r="F117" s="75"/>
      <c r="G117" s="76"/>
      <c r="H117" s="76"/>
      <c r="I117" s="75"/>
    </row>
    <row r="118" spans="1:9" ht="15.6" x14ac:dyDescent="0.25">
      <c r="A118" s="53" t="s">
        <v>202</v>
      </c>
      <c r="B118" s="54" t="s">
        <v>203</v>
      </c>
      <c r="C118" s="63">
        <f>SQRT((Icout_2fline^2)+(Icout_HF^2))</f>
        <v>3.5691071482813452</v>
      </c>
      <c r="D118" s="56" t="s">
        <v>199</v>
      </c>
      <c r="F118" s="75"/>
      <c r="G118" s="76"/>
      <c r="H118" s="76"/>
      <c r="I118" s="75"/>
    </row>
    <row r="119" spans="1:9" x14ac:dyDescent="0.25">
      <c r="A119" s="137"/>
      <c r="B119" s="137"/>
      <c r="C119" s="137"/>
      <c r="D119" s="137"/>
      <c r="F119" s="75"/>
      <c r="G119" s="76"/>
      <c r="H119" s="76"/>
      <c r="I119" s="75"/>
    </row>
    <row r="120" spans="1:9" x14ac:dyDescent="0.25">
      <c r="A120" s="138"/>
      <c r="B120" s="138"/>
      <c r="C120" s="138"/>
      <c r="D120" s="138"/>
      <c r="F120" s="75"/>
      <c r="G120" s="76"/>
      <c r="H120" s="76"/>
      <c r="I120" s="75"/>
    </row>
    <row r="121" spans="1:9" ht="15.6" x14ac:dyDescent="0.25">
      <c r="A121" s="145" t="s">
        <v>204</v>
      </c>
      <c r="B121" s="146"/>
      <c r="C121" s="146"/>
      <c r="D121" s="147"/>
      <c r="F121" s="75"/>
      <c r="G121" s="76"/>
      <c r="H121" s="76"/>
      <c r="I121" s="75"/>
    </row>
    <row r="122" spans="1:9" ht="15.6" x14ac:dyDescent="0.25">
      <c r="A122" s="69" t="s">
        <v>205</v>
      </c>
      <c r="B122" s="70" t="s">
        <v>206</v>
      </c>
      <c r="C122" s="86">
        <v>1</v>
      </c>
      <c r="D122" s="72" t="s">
        <v>207</v>
      </c>
      <c r="F122" s="75"/>
      <c r="G122" s="76"/>
      <c r="H122" s="76"/>
      <c r="I122" s="75"/>
    </row>
    <row r="123" spans="1:9" ht="15.6" x14ac:dyDescent="0.25">
      <c r="A123" s="44" t="s">
        <v>208</v>
      </c>
      <c r="B123" s="45" t="s">
        <v>209</v>
      </c>
      <c r="C123" s="46">
        <v>0.2</v>
      </c>
      <c r="D123" s="47" t="s">
        <v>210</v>
      </c>
    </row>
    <row r="124" spans="1:9" ht="15.6" x14ac:dyDescent="0.25">
      <c r="A124" s="87" t="s">
        <v>211</v>
      </c>
      <c r="B124" s="49" t="s">
        <v>212</v>
      </c>
      <c r="C124" s="46">
        <v>1</v>
      </c>
      <c r="D124" s="47" t="s">
        <v>213</v>
      </c>
    </row>
    <row r="125" spans="1:9" ht="15.6" x14ac:dyDescent="0.25">
      <c r="A125" s="87" t="s">
        <v>214</v>
      </c>
      <c r="B125" s="10" t="s">
        <v>215</v>
      </c>
      <c r="C125" s="46">
        <v>100</v>
      </c>
      <c r="D125" s="47" t="s">
        <v>216</v>
      </c>
    </row>
    <row r="126" spans="1:9" ht="15.6" x14ac:dyDescent="0.25">
      <c r="A126" s="88" t="s">
        <v>217</v>
      </c>
      <c r="B126" s="70" t="s">
        <v>218</v>
      </c>
      <c r="C126" s="71">
        <f>(Vref*_Rfb1*kOhm)/(Vout-Vref)</f>
        <v>12.5</v>
      </c>
      <c r="D126" s="72" t="s">
        <v>219</v>
      </c>
      <c r="F126" s="75"/>
      <c r="G126" s="76"/>
      <c r="H126" s="76"/>
      <c r="I126" s="75"/>
    </row>
    <row r="127" spans="1:9" ht="15.6" x14ac:dyDescent="0.25">
      <c r="A127" s="89" t="s">
        <v>208</v>
      </c>
      <c r="B127" s="45" t="s">
        <v>220</v>
      </c>
      <c r="C127" s="90">
        <v>13</v>
      </c>
      <c r="D127" s="47" t="s">
        <v>221</v>
      </c>
      <c r="F127" s="75"/>
      <c r="G127" s="76"/>
      <c r="H127" s="76"/>
      <c r="I127" s="75"/>
    </row>
    <row r="128" spans="1:9" ht="15.6" x14ac:dyDescent="0.25">
      <c r="A128" s="87" t="s">
        <v>222</v>
      </c>
      <c r="B128" s="49" t="s">
        <v>223</v>
      </c>
      <c r="C128" s="46">
        <v>1</v>
      </c>
      <c r="D128" s="47" t="s">
        <v>213</v>
      </c>
      <c r="F128" s="75"/>
      <c r="G128" s="76"/>
      <c r="H128" s="76"/>
      <c r="I128" s="75"/>
    </row>
    <row r="129" spans="1:9" ht="15.6" x14ac:dyDescent="0.25">
      <c r="A129" s="87" t="s">
        <v>224</v>
      </c>
      <c r="B129" s="10" t="s">
        <v>225</v>
      </c>
      <c r="C129" s="46">
        <v>100</v>
      </c>
      <c r="D129" s="47" t="s">
        <v>216</v>
      </c>
      <c r="F129" s="75"/>
      <c r="G129" s="76"/>
      <c r="H129" s="76"/>
      <c r="I129" s="75"/>
    </row>
    <row r="130" spans="1:9" ht="15.6" x14ac:dyDescent="0.25">
      <c r="A130" s="44" t="s">
        <v>226</v>
      </c>
      <c r="B130" s="45" t="s">
        <v>25</v>
      </c>
      <c r="C130" s="58">
        <f>Vref*((_Rfb1*MegOhm)+(_Rfb2*kOhm))/(_Rfb2*kOhm)</f>
        <v>81.92307692307692</v>
      </c>
      <c r="D130" s="47" t="s">
        <v>26</v>
      </c>
      <c r="F130" s="75"/>
      <c r="G130" s="76"/>
      <c r="H130" s="76"/>
      <c r="I130" s="75"/>
    </row>
    <row r="131" spans="1:9" ht="15.6" x14ac:dyDescent="0.25">
      <c r="A131" s="91" t="s">
        <v>227</v>
      </c>
      <c r="B131" s="10" t="s">
        <v>228</v>
      </c>
      <c r="C131" s="58">
        <f>Vout_nom-SQRT((((((_Rfb1*MegOhm)+(_Rfb2*kOhm))/(_Rfb2*kOhm))*0.1)^2)+(((Vref/(_Rfb2*kOhm))*(((Rfb1_tempco*10^-6)*(Tamb-25))+(delta_Rfb1/100))*(_Rfb1*MegOhm))^2)+(((5*(_Rfb1*MegOhm))*((-1)*((_Rfb2*kOhm)^-2))*(((Rfb2_tempco*10^-6)*(Tamb-25))+(delta_Rfb2/100))*(_Rfb2*kOhm)))^2)</f>
        <v>79.793835593623342</v>
      </c>
      <c r="D131" s="47" t="s">
        <v>26</v>
      </c>
      <c r="F131" s="75"/>
      <c r="G131" s="76"/>
      <c r="H131" s="76"/>
      <c r="I131" s="75"/>
    </row>
    <row r="132" spans="1:9" ht="15.6" x14ac:dyDescent="0.25">
      <c r="A132" s="91" t="s">
        <v>229</v>
      </c>
      <c r="B132" s="10" t="s">
        <v>230</v>
      </c>
      <c r="C132" s="58">
        <f>Vout_nom+SQRT((((((_Rfb1*MegOhm)+(_Rfb2*kOhm))/(_Rfb2*kOhm))*0.1)^2)+(((5/(_Rfb2*kOhm))*(((Rfb1_tempco*10^-6)*(Tamb-25))+(delta_Rfb1/100))*(_Rfb1*MegOhm))^2)+(((5*(_Rfb1*MegOhm))*((-1)*((_Rfb2*kOhm)^-2))*(((Rfb2_tempco*10^-6)*(Tamb-25))+(delta_Rfb2/100))*(_Rfb2*kOhm)))^2)</f>
        <v>84.052318252530497</v>
      </c>
      <c r="D132" s="47" t="s">
        <v>26</v>
      </c>
      <c r="F132" s="75"/>
      <c r="G132" s="76"/>
      <c r="H132" s="76"/>
      <c r="I132" s="75"/>
    </row>
    <row r="133" spans="1:9" ht="15.6" x14ac:dyDescent="0.25">
      <c r="A133" s="44" t="s">
        <v>231</v>
      </c>
      <c r="B133" s="45" t="s">
        <v>232</v>
      </c>
      <c r="C133" s="58">
        <f>(Vref_ovp)*((_Rfb1*MegOhm)+(_Rfb2*kOhm))/(_Rfb2*kOhm)</f>
        <v>86.019230769230774</v>
      </c>
      <c r="D133" s="47" t="s">
        <v>26</v>
      </c>
      <c r="F133" s="75"/>
      <c r="G133" s="76"/>
      <c r="H133" s="76"/>
      <c r="I133" s="75"/>
    </row>
    <row r="134" spans="1:9" ht="15.6" x14ac:dyDescent="0.25">
      <c r="A134" s="44" t="s">
        <v>233</v>
      </c>
      <c r="B134" s="45" t="s">
        <v>234</v>
      </c>
      <c r="C134" s="58">
        <f>(Vref_ovpmax)*((_Rfb1*MegOhm)+(_Rfb2*kOhm))/(_Rfb2*kOhm)</f>
        <v>88.149230769230769</v>
      </c>
      <c r="D134" s="92" t="s">
        <v>26</v>
      </c>
      <c r="F134" s="75"/>
      <c r="G134" s="76"/>
      <c r="H134" s="76"/>
      <c r="I134" s="75"/>
    </row>
    <row r="135" spans="1:9" ht="15.6" x14ac:dyDescent="0.25">
      <c r="A135" s="93" t="s">
        <v>235</v>
      </c>
      <c r="B135" s="10" t="s">
        <v>236</v>
      </c>
      <c r="C135" s="58">
        <f>(Vref_ovpmin)*((_Rfb1*MegOhm)+(_Rfb2*kOhm))/(_Rfb2*kOhm)</f>
        <v>83.889230769230764</v>
      </c>
      <c r="D135" s="92" t="s">
        <v>26</v>
      </c>
      <c r="F135" s="75"/>
      <c r="G135" s="76"/>
      <c r="H135" s="76"/>
      <c r="I135" s="75"/>
    </row>
    <row r="136" spans="1:9" ht="15.6" x14ac:dyDescent="0.25">
      <c r="A136" s="44" t="s">
        <v>237</v>
      </c>
      <c r="B136" s="45" t="s">
        <v>238</v>
      </c>
      <c r="C136" s="58">
        <f>(Vref_uvd)*((_Rfb1*MegOhm)+(_Rfb2*kOhm))/(_Rfb2*kOhm)</f>
        <v>77.82692307692308</v>
      </c>
      <c r="D136" s="47" t="s">
        <v>26</v>
      </c>
      <c r="F136" s="75"/>
      <c r="G136" s="76"/>
      <c r="H136" s="76"/>
      <c r="I136" s="75"/>
    </row>
    <row r="137" spans="1:9" ht="15.6" x14ac:dyDescent="0.25">
      <c r="A137" s="93" t="s">
        <v>239</v>
      </c>
      <c r="B137" s="10" t="s">
        <v>240</v>
      </c>
      <c r="C137" s="58">
        <f>(Vref_uvdmax)*((_Rfb1*MegOhm)+(_Rfb2*kOhm))/(_Rfb2*kOhm)</f>
        <v>79.793076923076924</v>
      </c>
      <c r="D137" s="47" t="s">
        <v>26</v>
      </c>
      <c r="F137" s="75"/>
      <c r="G137" s="76"/>
      <c r="H137" s="76"/>
      <c r="I137" s="75"/>
    </row>
    <row r="138" spans="1:9" ht="15.6" x14ac:dyDescent="0.25">
      <c r="A138" s="93" t="s">
        <v>241</v>
      </c>
      <c r="B138" s="10" t="s">
        <v>242</v>
      </c>
      <c r="C138" s="58">
        <f>(Vref_uvdmin)*((_Rfb1*MegOhm)+(_Rfb2*kOhm))/(_Rfb2*kOhm)</f>
        <v>75.860769230769236</v>
      </c>
      <c r="D138" s="47" t="s">
        <v>26</v>
      </c>
      <c r="F138" s="75"/>
      <c r="G138" s="76"/>
      <c r="H138" s="76"/>
      <c r="I138" s="75"/>
    </row>
    <row r="139" spans="1:9" ht="15.6" x14ac:dyDescent="0.25">
      <c r="A139" s="69" t="s">
        <v>243</v>
      </c>
      <c r="B139" s="70" t="s">
        <v>244</v>
      </c>
      <c r="C139" s="71">
        <f>((t_RFB2Cvsense*ms)/(_Rfb2*kOhm))/picoF</f>
        <v>769.23076923076906</v>
      </c>
      <c r="D139" s="72" t="s">
        <v>146</v>
      </c>
      <c r="F139" s="75"/>
      <c r="G139" s="76"/>
      <c r="H139" s="76"/>
      <c r="I139" s="75"/>
    </row>
    <row r="140" spans="1:9" ht="15.6" x14ac:dyDescent="0.25">
      <c r="A140" s="94" t="s">
        <v>245</v>
      </c>
      <c r="B140" s="95" t="s">
        <v>246</v>
      </c>
      <c r="C140" s="63">
        <f>(Vout_nom^2)/((_Rfb1*MegOhm)+(_Rfb2*kOhm))</f>
        <v>3.1508875739644969E-2</v>
      </c>
      <c r="D140" s="96" t="s">
        <v>23</v>
      </c>
      <c r="F140" s="75"/>
      <c r="G140" s="76"/>
      <c r="H140" s="76"/>
      <c r="I140" s="75"/>
    </row>
    <row r="141" spans="1:9" x14ac:dyDescent="0.25">
      <c r="A141" s="157"/>
      <c r="B141" s="157"/>
      <c r="C141" s="157"/>
      <c r="D141" s="157"/>
      <c r="F141" s="75"/>
      <c r="G141" s="76"/>
      <c r="H141" s="76"/>
      <c r="I141" s="75"/>
    </row>
    <row r="142" spans="1:9" x14ac:dyDescent="0.25">
      <c r="A142" s="158"/>
      <c r="B142" s="158"/>
      <c r="C142" s="158"/>
      <c r="D142" s="158"/>
      <c r="F142" s="75"/>
      <c r="G142" s="76"/>
      <c r="H142" s="76"/>
      <c r="I142" s="75"/>
    </row>
    <row r="143" spans="1:9" ht="15.75" customHeight="1" x14ac:dyDescent="0.25">
      <c r="A143" s="145" t="s">
        <v>247</v>
      </c>
      <c r="B143" s="146"/>
      <c r="C143" s="146"/>
      <c r="D143" s="147"/>
      <c r="F143" s="75"/>
      <c r="G143" s="76"/>
      <c r="H143" s="76"/>
      <c r="I143" s="75"/>
    </row>
    <row r="144" spans="1:9" ht="15.15" customHeight="1" x14ac:dyDescent="0.25">
      <c r="A144" s="159" t="s">
        <v>248</v>
      </c>
      <c r="B144" s="160"/>
      <c r="C144" s="160"/>
      <c r="D144" s="161"/>
      <c r="F144" s="75"/>
      <c r="G144" s="76"/>
      <c r="H144" s="76"/>
      <c r="I144" s="75"/>
    </row>
    <row r="145" spans="1:9" ht="15.15" customHeight="1" x14ac:dyDescent="0.25">
      <c r="A145" s="87"/>
      <c r="B145" s="97"/>
      <c r="C145" s="97"/>
      <c r="D145" s="98"/>
      <c r="F145" s="75"/>
      <c r="G145" s="76"/>
      <c r="H145" s="76"/>
      <c r="I145" s="75"/>
    </row>
    <row r="146" spans="1:9" ht="15.15" customHeight="1" x14ac:dyDescent="0.25">
      <c r="A146" s="87"/>
      <c r="B146" s="97"/>
      <c r="C146" s="97"/>
      <c r="D146" s="98"/>
      <c r="F146" s="75"/>
      <c r="G146" s="76"/>
      <c r="H146" s="76"/>
      <c r="I146" s="75"/>
    </row>
    <row r="147" spans="1:9" ht="15.15" customHeight="1" x14ac:dyDescent="0.25">
      <c r="A147" s="87"/>
      <c r="B147" s="97"/>
      <c r="C147" s="97"/>
      <c r="D147" s="98"/>
      <c r="F147" s="75"/>
      <c r="G147" s="76"/>
      <c r="H147" s="76"/>
      <c r="I147" s="75"/>
    </row>
    <row r="148" spans="1:9" ht="15.15" customHeight="1" x14ac:dyDescent="0.25">
      <c r="A148" s="87"/>
      <c r="B148" s="97"/>
      <c r="C148" s="97"/>
      <c r="D148" s="98"/>
      <c r="F148" s="75"/>
      <c r="G148" s="76"/>
      <c r="H148" s="76"/>
      <c r="I148" s="75"/>
    </row>
    <row r="149" spans="1:9" ht="15.15" customHeight="1" x14ac:dyDescent="0.25">
      <c r="A149" s="99"/>
      <c r="B149" s="100"/>
      <c r="C149" s="100"/>
      <c r="D149" s="101"/>
      <c r="F149" s="75"/>
      <c r="G149" s="76"/>
      <c r="H149" s="76"/>
      <c r="I149" s="75"/>
    </row>
    <row r="150" spans="1:9" ht="15.15" customHeight="1" x14ac:dyDescent="0.25">
      <c r="A150" s="99"/>
      <c r="B150" s="100"/>
      <c r="C150" s="100"/>
      <c r="D150" s="101"/>
      <c r="F150" s="75"/>
      <c r="G150" s="76"/>
      <c r="H150" s="76"/>
      <c r="I150" s="75"/>
    </row>
    <row r="151" spans="1:9" ht="15.15" customHeight="1" x14ac:dyDescent="0.25">
      <c r="A151" s="99"/>
      <c r="B151" s="100"/>
      <c r="C151" s="100"/>
      <c r="D151" s="101"/>
      <c r="F151" s="75"/>
      <c r="G151" s="76"/>
      <c r="H151" s="76"/>
      <c r="I151" s="75"/>
    </row>
    <row r="152" spans="1:9" ht="15.15" customHeight="1" x14ac:dyDescent="0.25">
      <c r="A152" s="99"/>
      <c r="B152" s="100"/>
      <c r="C152" s="100"/>
      <c r="D152" s="101"/>
      <c r="F152" s="75"/>
      <c r="G152" s="76"/>
      <c r="H152" s="76"/>
      <c r="I152" s="75"/>
    </row>
    <row r="153" spans="1:9" ht="15.15" customHeight="1" x14ac:dyDescent="0.25">
      <c r="A153" s="87"/>
      <c r="B153" s="97"/>
      <c r="C153" s="97"/>
      <c r="D153" s="98"/>
      <c r="F153" s="75"/>
      <c r="G153" s="76"/>
      <c r="H153" s="76"/>
      <c r="I153" s="75"/>
    </row>
    <row r="154" spans="1:9" ht="15.15" customHeight="1" x14ac:dyDescent="0.25">
      <c r="A154" s="87"/>
      <c r="B154" s="97"/>
      <c r="C154" s="97"/>
      <c r="D154" s="98"/>
      <c r="F154" s="75"/>
      <c r="G154" s="76"/>
      <c r="H154" s="76"/>
      <c r="I154" s="75"/>
    </row>
    <row r="155" spans="1:9" ht="15.15" customHeight="1" x14ac:dyDescent="0.25">
      <c r="A155" s="87"/>
      <c r="B155" s="97"/>
      <c r="C155" s="97"/>
      <c r="D155" s="98"/>
      <c r="F155" s="75"/>
      <c r="G155" s="76"/>
      <c r="H155" s="76"/>
      <c r="I155" s="75"/>
    </row>
    <row r="156" spans="1:9" ht="15.15" customHeight="1" x14ac:dyDescent="0.25">
      <c r="A156" s="87"/>
      <c r="B156" s="97"/>
      <c r="C156" s="97"/>
      <c r="D156" s="98"/>
      <c r="F156" s="75"/>
      <c r="G156" s="76"/>
      <c r="H156" s="76"/>
      <c r="I156" s="75"/>
    </row>
    <row r="157" spans="1:9" ht="15.15" customHeight="1" x14ac:dyDescent="0.25">
      <c r="A157" s="99"/>
      <c r="B157" s="100"/>
      <c r="C157" s="100"/>
      <c r="D157" s="102"/>
      <c r="F157" s="75"/>
      <c r="G157" s="76"/>
      <c r="H157" s="76"/>
      <c r="I157" s="75"/>
    </row>
    <row r="158" spans="1:9" ht="15.15" customHeight="1" x14ac:dyDescent="0.25">
      <c r="A158" s="99"/>
      <c r="B158" s="100"/>
      <c r="C158" s="100"/>
      <c r="D158" s="102"/>
      <c r="F158" s="75"/>
      <c r="G158" s="76"/>
      <c r="H158" s="76"/>
      <c r="I158" s="75"/>
    </row>
    <row r="159" spans="1:9" ht="15.15" customHeight="1" x14ac:dyDescent="0.25">
      <c r="A159" s="99"/>
      <c r="B159" s="100"/>
      <c r="C159" s="100"/>
      <c r="D159" s="102"/>
      <c r="F159" s="75"/>
      <c r="G159" s="76"/>
      <c r="H159" s="76"/>
      <c r="I159" s="75"/>
    </row>
    <row r="160" spans="1:9" ht="15.15" customHeight="1" x14ac:dyDescent="0.25">
      <c r="A160" s="99"/>
      <c r="B160" s="100"/>
      <c r="C160" s="100"/>
      <c r="D160" s="102"/>
      <c r="F160" s="75"/>
      <c r="G160" s="76"/>
      <c r="H160" s="76"/>
      <c r="I160" s="75"/>
    </row>
    <row r="161" spans="1:9" ht="15.15" customHeight="1" x14ac:dyDescent="0.25">
      <c r="A161" s="99"/>
      <c r="B161" s="100"/>
      <c r="C161" s="100"/>
      <c r="D161" s="102"/>
      <c r="F161" s="75"/>
    </row>
    <row r="162" spans="1:9" ht="15.15" customHeight="1" x14ac:dyDescent="0.25">
      <c r="A162" s="99"/>
      <c r="B162" s="100"/>
      <c r="C162" s="100"/>
      <c r="D162" s="102"/>
      <c r="F162" s="75"/>
      <c r="G162" s="76"/>
      <c r="H162" s="76"/>
      <c r="I162" s="75"/>
    </row>
    <row r="163" spans="1:9" ht="15.15" customHeight="1" x14ac:dyDescent="0.25">
      <c r="A163" s="99"/>
      <c r="B163" s="100"/>
      <c r="C163" s="100"/>
      <c r="D163" s="102"/>
      <c r="F163" s="75"/>
      <c r="G163" s="76"/>
      <c r="H163" s="76"/>
      <c r="I163" s="75"/>
    </row>
    <row r="164" spans="1:9" ht="15.15" customHeight="1" x14ac:dyDescent="0.25">
      <c r="A164" s="99"/>
      <c r="B164" s="100"/>
      <c r="C164" s="100"/>
      <c r="D164" s="102"/>
      <c r="F164" s="75"/>
      <c r="G164" s="76"/>
      <c r="H164" s="76"/>
      <c r="I164" s="75"/>
    </row>
    <row r="165" spans="1:9" ht="15.15" customHeight="1" x14ac:dyDescent="0.25">
      <c r="A165" s="99"/>
      <c r="B165" s="100"/>
      <c r="C165" s="100"/>
      <c r="D165" s="102"/>
      <c r="F165" s="75"/>
      <c r="G165" s="76"/>
      <c r="H165" s="76"/>
      <c r="I165" s="75"/>
    </row>
    <row r="166" spans="1:9" ht="15.15" customHeight="1" x14ac:dyDescent="0.25">
      <c r="A166" s="99"/>
      <c r="B166" s="100"/>
      <c r="C166" s="100"/>
      <c r="D166" s="102"/>
      <c r="F166" s="75"/>
      <c r="G166" s="76"/>
      <c r="H166" s="76"/>
      <c r="I166" s="75"/>
    </row>
    <row r="167" spans="1:9" ht="15.75" customHeight="1" x14ac:dyDescent="0.25">
      <c r="A167" s="99"/>
      <c r="B167" s="100"/>
      <c r="C167" s="100"/>
      <c r="D167" s="102"/>
      <c r="F167" s="75"/>
      <c r="G167" s="76"/>
      <c r="H167" s="76"/>
      <c r="I167" s="75"/>
    </row>
    <row r="168" spans="1:9" ht="15.75" customHeight="1" x14ac:dyDescent="0.25">
      <c r="A168" s="44" t="s">
        <v>249</v>
      </c>
      <c r="B168" s="45" t="s">
        <v>250</v>
      </c>
      <c r="C168" s="71">
        <f>(Iout*(Vout_nom^2)*Rsense*K_1)/(eff^2*(VINnom^2)*K_fq)*us</f>
        <v>5.6566536315001095E-2</v>
      </c>
      <c r="D168" s="103" t="s">
        <v>251</v>
      </c>
      <c r="F168" s="75"/>
      <c r="G168" s="76"/>
      <c r="H168" s="76"/>
      <c r="I168" s="75"/>
    </row>
    <row r="169" spans="1:9" x14ac:dyDescent="0.25">
      <c r="A169" s="104" t="s">
        <v>252</v>
      </c>
      <c r="B169" s="45" t="s">
        <v>253</v>
      </c>
      <c r="C169" s="71">
        <f>Vcomp</f>
        <v>3.0010232880533749</v>
      </c>
      <c r="D169" s="105" t="s">
        <v>26</v>
      </c>
      <c r="F169" s="75"/>
      <c r="G169" s="76"/>
      <c r="H169" s="76"/>
      <c r="I169" s="75"/>
    </row>
    <row r="170" spans="1:9" ht="15.6" x14ac:dyDescent="0.25">
      <c r="A170" s="93" t="s">
        <v>254</v>
      </c>
      <c r="B170" s="10" t="s">
        <v>255</v>
      </c>
      <c r="C170" s="106">
        <f>IF(Vcomp&lt;2,(0.064),IF(Vcomp&lt;3,(0.139*Vcomp-0.214),IF(Vcomp&lt;5.5,(0.279*Vcomp-0.632),IF(Vcomp&lt;7,0.903,"VCOMP MUST BE &lt; 7"))))</f>
        <v>0.20528549736689172</v>
      </c>
      <c r="D170" s="107"/>
      <c r="F170" s="75"/>
      <c r="G170" s="76"/>
      <c r="H170" s="76"/>
      <c r="I170" s="75"/>
    </row>
    <row r="171" spans="1:9" ht="15.6" x14ac:dyDescent="0.25">
      <c r="A171" s="93" t="s">
        <v>256</v>
      </c>
      <c r="B171" s="10" t="s">
        <v>257</v>
      </c>
      <c r="C171" s="106">
        <f>IF(Vcomp&lt;=1.5,0,IF(Vcomp&lt;5.6,(0.1223*(Vcomp-1.5)^2),IF(Vcomp&lt;7,2.056,"VCOMP MUST BE &lt; 7")))</f>
        <v>0.27555057244936854</v>
      </c>
      <c r="D171" s="103" t="s">
        <v>251</v>
      </c>
    </row>
    <row r="172" spans="1:9" ht="15.6" x14ac:dyDescent="0.25">
      <c r="A172" s="93" t="s">
        <v>258</v>
      </c>
      <c r="B172" s="45" t="s">
        <v>259</v>
      </c>
      <c r="C172" s="108">
        <f>IF(Vcomp&gt;=3,((0.1026*(Vcomp^2))-(0.3596*Vcomp)+0.3085),(0.051*(Vcomp^2)-(0.1543*Vcomp)+0.1167))</f>
        <v>0.15336206917601602</v>
      </c>
      <c r="D172" s="47"/>
      <c r="E172" s="109"/>
    </row>
    <row r="173" spans="1:9" ht="15.6" x14ac:dyDescent="0.25">
      <c r="A173" s="93" t="s">
        <v>260</v>
      </c>
      <c r="B173" s="10" t="s">
        <v>261</v>
      </c>
      <c r="C173" s="110">
        <v>9.5</v>
      </c>
      <c r="D173" s="92" t="s">
        <v>262</v>
      </c>
      <c r="E173" s="111"/>
      <c r="F173" s="111"/>
      <c r="G173" s="111"/>
      <c r="H173" s="111"/>
    </row>
    <row r="174" spans="1:9" ht="15.6" x14ac:dyDescent="0.25">
      <c r="A174" s="69" t="s">
        <v>263</v>
      </c>
      <c r="B174" s="70" t="s">
        <v>264</v>
      </c>
      <c r="C174" s="112">
        <f>(((0.95*10^-3)*M_1)/(7*2*PI()*(f_Iavg*10^3)))*10^12</f>
        <v>466.74573787170124</v>
      </c>
      <c r="D174" s="72" t="s">
        <v>146</v>
      </c>
    </row>
    <row r="175" spans="1:9" ht="15.6" x14ac:dyDescent="0.25">
      <c r="A175" s="44" t="s">
        <v>265</v>
      </c>
      <c r="B175" s="10" t="s">
        <v>266</v>
      </c>
      <c r="C175" s="46">
        <v>550</v>
      </c>
      <c r="D175" s="92" t="s">
        <v>146</v>
      </c>
    </row>
    <row r="176" spans="1:9" ht="15.6" x14ac:dyDescent="0.25">
      <c r="A176" s="44" t="s">
        <v>267</v>
      </c>
      <c r="B176" s="10" t="s">
        <v>268</v>
      </c>
      <c r="C176" s="108">
        <f>((0.95*10^-3*M_1)/(7*2*PI()*Cicomp*10^-12))*10^-3</f>
        <v>8.061971835965748</v>
      </c>
      <c r="D176" s="47" t="s">
        <v>262</v>
      </c>
    </row>
    <row r="177" spans="1:4" x14ac:dyDescent="0.25">
      <c r="A177" s="87"/>
      <c r="B177" s="3"/>
      <c r="C177" s="113"/>
      <c r="D177" s="98"/>
    </row>
    <row r="178" spans="1:4" x14ac:dyDescent="0.25">
      <c r="A178" s="87"/>
      <c r="B178" s="97"/>
      <c r="C178" s="97"/>
      <c r="D178" s="98"/>
    </row>
    <row r="179" spans="1:4" x14ac:dyDescent="0.25">
      <c r="A179" s="87"/>
      <c r="B179" s="97"/>
      <c r="C179" s="97"/>
      <c r="D179" s="98"/>
    </row>
    <row r="180" spans="1:4" x14ac:dyDescent="0.25">
      <c r="A180" s="114"/>
      <c r="B180" s="3"/>
      <c r="C180" s="3"/>
      <c r="D180" s="115"/>
    </row>
    <row r="181" spans="1:4" x14ac:dyDescent="0.25">
      <c r="A181" s="87"/>
      <c r="B181" s="97"/>
      <c r="C181" s="97"/>
      <c r="D181" s="98"/>
    </row>
    <row r="182" spans="1:4" x14ac:dyDescent="0.25">
      <c r="A182" s="87"/>
      <c r="B182" s="97"/>
      <c r="C182" s="97"/>
      <c r="D182" s="98"/>
    </row>
    <row r="183" spans="1:4" x14ac:dyDescent="0.25">
      <c r="A183" s="87"/>
      <c r="B183" s="97"/>
      <c r="C183" s="97"/>
      <c r="D183" s="98"/>
    </row>
    <row r="184" spans="1:4" x14ac:dyDescent="0.25">
      <c r="A184" s="87"/>
      <c r="B184" s="97"/>
      <c r="C184" s="97"/>
      <c r="D184" s="98"/>
    </row>
    <row r="185" spans="1:4" x14ac:dyDescent="0.25">
      <c r="A185" s="87"/>
      <c r="B185" s="97"/>
      <c r="C185" s="97"/>
      <c r="D185" s="98"/>
    </row>
    <row r="186" spans="1:4" x14ac:dyDescent="0.25">
      <c r="A186" s="87"/>
      <c r="B186" s="97"/>
      <c r="C186" s="97"/>
      <c r="D186" s="98"/>
    </row>
    <row r="187" spans="1:4" x14ac:dyDescent="0.25">
      <c r="A187" s="87"/>
      <c r="B187" s="97"/>
      <c r="C187" s="97"/>
      <c r="D187" s="98"/>
    </row>
    <row r="188" spans="1:4" x14ac:dyDescent="0.25">
      <c r="A188" s="87"/>
      <c r="B188" s="97"/>
      <c r="C188" s="97"/>
      <c r="D188" s="98"/>
    </row>
    <row r="189" spans="1:4" x14ac:dyDescent="0.25">
      <c r="A189" s="87"/>
      <c r="B189" s="97"/>
      <c r="C189" s="97"/>
      <c r="D189" s="98"/>
    </row>
    <row r="190" spans="1:4" x14ac:dyDescent="0.25">
      <c r="A190" s="87"/>
      <c r="B190" s="97"/>
      <c r="C190" s="97"/>
      <c r="D190" s="98"/>
    </row>
    <row r="191" spans="1:4" x14ac:dyDescent="0.25">
      <c r="A191" s="87"/>
      <c r="B191" s="97"/>
      <c r="C191" s="97"/>
      <c r="D191" s="98"/>
    </row>
    <row r="192" spans="1:4" x14ac:dyDescent="0.25">
      <c r="A192" s="87"/>
      <c r="B192" s="97"/>
      <c r="C192" s="97"/>
      <c r="D192" s="98"/>
    </row>
    <row r="193" spans="1:4" x14ac:dyDescent="0.25">
      <c r="A193" s="87"/>
      <c r="B193" s="97"/>
      <c r="C193" s="97"/>
      <c r="D193" s="98"/>
    </row>
    <row r="194" spans="1:4" x14ac:dyDescent="0.25">
      <c r="A194" s="87"/>
      <c r="B194" s="97"/>
      <c r="C194" s="97"/>
      <c r="D194" s="98"/>
    </row>
    <row r="195" spans="1:4" x14ac:dyDescent="0.25">
      <c r="A195" s="87"/>
      <c r="B195" s="97"/>
      <c r="C195" s="97"/>
      <c r="D195" s="98"/>
    </row>
    <row r="196" spans="1:4" x14ac:dyDescent="0.25">
      <c r="A196" s="87"/>
      <c r="B196" s="97"/>
      <c r="C196" s="97"/>
      <c r="D196" s="98"/>
    </row>
    <row r="197" spans="1:4" x14ac:dyDescent="0.25">
      <c r="A197" s="87"/>
      <c r="B197" s="97"/>
      <c r="C197" s="97"/>
      <c r="D197" s="98"/>
    </row>
    <row r="198" spans="1:4" x14ac:dyDescent="0.25">
      <c r="A198" s="87"/>
      <c r="B198" s="97"/>
      <c r="C198" s="97"/>
      <c r="D198" s="98"/>
    </row>
    <row r="199" spans="1:4" x14ac:dyDescent="0.25">
      <c r="A199" s="87"/>
      <c r="B199" s="97"/>
      <c r="C199" s="97"/>
      <c r="D199" s="98"/>
    </row>
    <row r="200" spans="1:4" x14ac:dyDescent="0.25">
      <c r="A200" s="87"/>
      <c r="B200" s="97"/>
      <c r="C200" s="97"/>
      <c r="D200" s="98"/>
    </row>
    <row r="201" spans="1:4" x14ac:dyDescent="0.25">
      <c r="A201" s="87"/>
      <c r="B201" s="97"/>
      <c r="C201" s="97"/>
      <c r="D201" s="98"/>
    </row>
    <row r="202" spans="1:4" x14ac:dyDescent="0.25">
      <c r="A202" s="87"/>
      <c r="B202" s="97"/>
      <c r="C202" s="97"/>
      <c r="D202" s="98"/>
    </row>
    <row r="203" spans="1:4" x14ac:dyDescent="0.25">
      <c r="A203" s="87"/>
      <c r="B203" s="97"/>
      <c r="C203" s="97"/>
      <c r="D203" s="98"/>
    </row>
    <row r="204" spans="1:4" x14ac:dyDescent="0.25">
      <c r="A204" s="87"/>
      <c r="B204" s="97"/>
      <c r="C204" s="97"/>
      <c r="D204" s="98"/>
    </row>
    <row r="205" spans="1:4" x14ac:dyDescent="0.25">
      <c r="A205" s="87"/>
      <c r="B205" s="97"/>
      <c r="C205" s="97"/>
      <c r="D205" s="98"/>
    </row>
    <row r="206" spans="1:4" x14ac:dyDescent="0.25">
      <c r="A206" s="87"/>
      <c r="B206" s="97"/>
      <c r="C206" s="97"/>
      <c r="D206" s="98"/>
    </row>
    <row r="207" spans="1:4" x14ac:dyDescent="0.25">
      <c r="A207" s="87"/>
      <c r="B207" s="97"/>
      <c r="C207" s="97"/>
      <c r="D207" s="98"/>
    </row>
    <row r="208" spans="1:4" x14ac:dyDescent="0.25">
      <c r="A208" s="87"/>
      <c r="B208" s="97"/>
      <c r="C208" s="97"/>
      <c r="D208" s="98"/>
    </row>
    <row r="209" spans="1:4" x14ac:dyDescent="0.25">
      <c r="A209" s="87"/>
      <c r="B209" s="97"/>
      <c r="C209" s="97"/>
      <c r="D209" s="98"/>
    </row>
    <row r="210" spans="1:4" x14ac:dyDescent="0.25">
      <c r="A210" s="87"/>
      <c r="B210" s="97"/>
      <c r="C210" s="97"/>
      <c r="D210" s="98"/>
    </row>
    <row r="211" spans="1:4" x14ac:dyDescent="0.25">
      <c r="A211" s="87"/>
      <c r="B211" s="97"/>
      <c r="C211" s="97"/>
      <c r="D211" s="98"/>
    </row>
    <row r="212" spans="1:4" x14ac:dyDescent="0.25">
      <c r="A212" s="87"/>
      <c r="B212" s="97"/>
      <c r="C212" s="97"/>
      <c r="D212" s="98"/>
    </row>
    <row r="213" spans="1:4" x14ac:dyDescent="0.25">
      <c r="A213" s="87"/>
      <c r="B213" s="97"/>
      <c r="C213" s="97"/>
      <c r="D213" s="98"/>
    </row>
    <row r="214" spans="1:4" x14ac:dyDescent="0.25">
      <c r="A214" s="87"/>
      <c r="B214" s="97"/>
      <c r="C214" s="97"/>
      <c r="D214" s="98"/>
    </row>
    <row r="215" spans="1:4" x14ac:dyDescent="0.25">
      <c r="A215" s="87"/>
      <c r="B215" s="97"/>
      <c r="C215" s="97"/>
      <c r="D215" s="98"/>
    </row>
    <row r="216" spans="1:4" x14ac:dyDescent="0.25">
      <c r="A216" s="87"/>
      <c r="B216" s="97"/>
      <c r="C216" s="97"/>
      <c r="D216" s="98"/>
    </row>
    <row r="217" spans="1:4" x14ac:dyDescent="0.25">
      <c r="A217" s="87"/>
      <c r="B217" s="97"/>
      <c r="C217" s="97"/>
      <c r="D217" s="98"/>
    </row>
    <row r="218" spans="1:4" x14ac:dyDescent="0.25">
      <c r="A218" s="87"/>
      <c r="B218" s="97"/>
      <c r="C218" s="97"/>
      <c r="D218" s="98"/>
    </row>
    <row r="219" spans="1:4" x14ac:dyDescent="0.25">
      <c r="A219" s="87"/>
      <c r="B219" s="97"/>
      <c r="C219" s="97"/>
      <c r="D219" s="98"/>
    </row>
    <row r="220" spans="1:4" x14ac:dyDescent="0.25">
      <c r="A220" s="87"/>
      <c r="B220" s="97"/>
      <c r="C220" s="97"/>
      <c r="D220" s="98"/>
    </row>
    <row r="221" spans="1:4" x14ac:dyDescent="0.25">
      <c r="A221" s="87"/>
      <c r="B221" s="97"/>
      <c r="C221" s="97"/>
      <c r="D221" s="98"/>
    </row>
    <row r="222" spans="1:4" x14ac:dyDescent="0.25">
      <c r="A222" s="87"/>
      <c r="B222" s="97"/>
      <c r="C222" s="97"/>
      <c r="D222" s="98"/>
    </row>
    <row r="223" spans="1:4" x14ac:dyDescent="0.25">
      <c r="A223" s="87"/>
      <c r="B223" s="97"/>
      <c r="C223" s="97"/>
      <c r="D223" s="98"/>
    </row>
    <row r="224" spans="1:4" x14ac:dyDescent="0.25">
      <c r="A224" s="87"/>
      <c r="B224" s="97"/>
      <c r="C224" s="97"/>
      <c r="D224" s="98"/>
    </row>
    <row r="225" spans="1:4" x14ac:dyDescent="0.25">
      <c r="A225" s="87"/>
      <c r="B225" s="97"/>
      <c r="C225" s="97"/>
      <c r="D225" s="98"/>
    </row>
    <row r="226" spans="1:4" x14ac:dyDescent="0.25">
      <c r="A226" s="87"/>
      <c r="B226" s="97"/>
      <c r="C226" s="97"/>
      <c r="D226" s="98"/>
    </row>
    <row r="227" spans="1:4" x14ac:dyDescent="0.25">
      <c r="A227" s="87"/>
      <c r="B227" s="97"/>
      <c r="C227" s="97"/>
      <c r="D227" s="98"/>
    </row>
    <row r="228" spans="1:4" x14ac:dyDescent="0.25">
      <c r="A228" s="87"/>
      <c r="B228" s="97"/>
      <c r="C228" s="97"/>
      <c r="D228" s="98"/>
    </row>
    <row r="229" spans="1:4" x14ac:dyDescent="0.25">
      <c r="A229" s="87"/>
      <c r="B229" s="97"/>
      <c r="C229" s="97"/>
      <c r="D229" s="98"/>
    </row>
    <row r="230" spans="1:4" x14ac:dyDescent="0.25">
      <c r="A230" s="87"/>
      <c r="B230" s="97"/>
      <c r="C230" s="97"/>
      <c r="D230" s="98"/>
    </row>
    <row r="231" spans="1:4" x14ac:dyDescent="0.25">
      <c r="A231" s="87"/>
      <c r="B231" s="97"/>
      <c r="C231" s="97"/>
      <c r="D231" s="98"/>
    </row>
    <row r="232" spans="1:4" x14ac:dyDescent="0.25">
      <c r="A232" s="87"/>
      <c r="B232" s="97"/>
      <c r="C232" s="97"/>
      <c r="D232" s="98"/>
    </row>
    <row r="233" spans="1:4" x14ac:dyDescent="0.25">
      <c r="A233" s="87"/>
      <c r="B233" s="97"/>
      <c r="C233" s="97"/>
      <c r="D233" s="98"/>
    </row>
    <row r="234" spans="1:4" x14ac:dyDescent="0.25">
      <c r="A234" s="87"/>
      <c r="B234" s="97"/>
      <c r="C234" s="97"/>
      <c r="D234" s="98"/>
    </row>
    <row r="235" spans="1:4" x14ac:dyDescent="0.25">
      <c r="A235" s="87"/>
      <c r="B235" s="97"/>
      <c r="C235" s="97"/>
      <c r="D235" s="98"/>
    </row>
    <row r="236" spans="1:4" x14ac:dyDescent="0.25">
      <c r="A236" s="87"/>
      <c r="B236" s="97"/>
      <c r="C236" s="97"/>
      <c r="D236" s="98"/>
    </row>
    <row r="237" spans="1:4" x14ac:dyDescent="0.25">
      <c r="A237" s="87"/>
      <c r="B237" s="97"/>
      <c r="C237" s="97"/>
      <c r="D237" s="98"/>
    </row>
    <row r="238" spans="1:4" x14ac:dyDescent="0.25">
      <c r="A238" s="87"/>
      <c r="B238" s="97"/>
      <c r="C238" s="97"/>
      <c r="D238" s="98"/>
    </row>
    <row r="239" spans="1:4" x14ac:dyDescent="0.25">
      <c r="A239" s="87"/>
      <c r="B239" s="97"/>
      <c r="C239" s="97"/>
      <c r="D239" s="98"/>
    </row>
    <row r="240" spans="1:4" x14ac:dyDescent="0.25">
      <c r="A240" s="87"/>
      <c r="B240" s="97"/>
      <c r="C240" s="97"/>
      <c r="D240" s="98"/>
    </row>
    <row r="241" spans="1:4" x14ac:dyDescent="0.25">
      <c r="A241" s="87"/>
      <c r="B241" s="97"/>
      <c r="C241" s="97"/>
      <c r="D241" s="98"/>
    </row>
    <row r="242" spans="1:4" x14ac:dyDescent="0.25">
      <c r="A242" s="87"/>
      <c r="B242" s="97"/>
      <c r="C242" s="97"/>
      <c r="D242" s="98"/>
    </row>
    <row r="243" spans="1:4" x14ac:dyDescent="0.25">
      <c r="A243" s="87"/>
      <c r="B243" s="97"/>
      <c r="C243" s="97"/>
      <c r="D243" s="98"/>
    </row>
    <row r="244" spans="1:4" x14ac:dyDescent="0.25">
      <c r="A244" s="87"/>
      <c r="B244" s="97"/>
      <c r="C244" s="97"/>
      <c r="D244" s="98"/>
    </row>
    <row r="245" spans="1:4" x14ac:dyDescent="0.25">
      <c r="A245" s="87"/>
      <c r="B245" s="97"/>
      <c r="C245" s="97"/>
      <c r="D245" s="98"/>
    </row>
    <row r="246" spans="1:4" x14ac:dyDescent="0.25">
      <c r="A246" s="87"/>
      <c r="B246" s="97"/>
      <c r="C246" s="97"/>
      <c r="D246" s="98"/>
    </row>
    <row r="247" spans="1:4" x14ac:dyDescent="0.25">
      <c r="A247" s="87"/>
      <c r="B247" s="97"/>
      <c r="C247" s="97"/>
      <c r="D247" s="98"/>
    </row>
    <row r="248" spans="1:4" x14ac:dyDescent="0.25">
      <c r="A248" s="87"/>
      <c r="B248" s="97"/>
      <c r="C248" s="97"/>
      <c r="D248" s="98"/>
    </row>
    <row r="249" spans="1:4" x14ac:dyDescent="0.25">
      <c r="A249" s="87"/>
      <c r="B249" s="97"/>
      <c r="C249" s="97"/>
      <c r="D249" s="98"/>
    </row>
    <row r="250" spans="1:4" x14ac:dyDescent="0.25">
      <c r="A250" s="87"/>
      <c r="B250" s="97"/>
      <c r="C250" s="97"/>
      <c r="D250" s="98"/>
    </row>
    <row r="251" spans="1:4" x14ac:dyDescent="0.25">
      <c r="A251" s="87"/>
      <c r="B251" s="97"/>
      <c r="C251" s="97"/>
      <c r="D251" s="98"/>
    </row>
    <row r="252" spans="1:4" x14ac:dyDescent="0.25">
      <c r="A252" s="87"/>
      <c r="B252" s="97"/>
      <c r="C252" s="97"/>
      <c r="D252" s="98"/>
    </row>
    <row r="253" spans="1:4" x14ac:dyDescent="0.25">
      <c r="A253" s="87"/>
      <c r="B253" s="97"/>
      <c r="C253" s="97"/>
      <c r="D253" s="98"/>
    </row>
    <row r="254" spans="1:4" x14ac:dyDescent="0.25">
      <c r="A254" s="87"/>
      <c r="B254" s="97"/>
      <c r="C254" s="97"/>
      <c r="D254" s="98"/>
    </row>
    <row r="255" spans="1:4" x14ac:dyDescent="0.25">
      <c r="A255" s="87"/>
      <c r="B255" s="97"/>
      <c r="C255" s="97"/>
      <c r="D255" s="98"/>
    </row>
    <row r="256" spans="1:4" x14ac:dyDescent="0.25">
      <c r="A256" s="87"/>
      <c r="B256" s="97"/>
      <c r="C256" s="97"/>
      <c r="D256" s="98"/>
    </row>
    <row r="257" spans="1:4" x14ac:dyDescent="0.25">
      <c r="A257" s="87"/>
      <c r="B257" s="97"/>
      <c r="C257" s="97"/>
      <c r="D257" s="98"/>
    </row>
    <row r="258" spans="1:4" ht="13.5" customHeight="1" x14ac:dyDescent="0.25">
      <c r="A258" s="87"/>
      <c r="B258" s="97"/>
      <c r="C258" s="97"/>
      <c r="D258" s="98"/>
    </row>
    <row r="259" spans="1:4" x14ac:dyDescent="0.25">
      <c r="A259" s="87"/>
      <c r="B259" s="97"/>
      <c r="C259" s="97"/>
      <c r="D259" s="98"/>
    </row>
    <row r="260" spans="1:4" ht="13.8" x14ac:dyDescent="0.25">
      <c r="A260" s="162" t="s">
        <v>269</v>
      </c>
      <c r="B260" s="163"/>
      <c r="C260" s="163"/>
      <c r="D260" s="164"/>
    </row>
    <row r="261" spans="1:4" ht="15.6" x14ac:dyDescent="0.25">
      <c r="A261" s="44" t="s">
        <v>270</v>
      </c>
      <c r="B261" s="45" t="s">
        <v>271</v>
      </c>
      <c r="C261" s="58">
        <f>1/((2*PI()*7*Rsense*(Vout_nom^3)*(Cout*10^-6))/((1/(fsw))*(M1M2_calc/us)*(Vin_nom^2)))</f>
        <v>1.0599902741283895</v>
      </c>
      <c r="D261" s="47" t="s">
        <v>48</v>
      </c>
    </row>
    <row r="262" spans="1:4" ht="15.6" x14ac:dyDescent="0.25">
      <c r="A262" s="93" t="s">
        <v>272</v>
      </c>
      <c r="B262" s="10" t="s">
        <v>273</v>
      </c>
      <c r="C262" s="116">
        <v>10</v>
      </c>
      <c r="D262" s="92" t="s">
        <v>48</v>
      </c>
    </row>
    <row r="263" spans="1:4" ht="15.6" x14ac:dyDescent="0.25">
      <c r="A263" s="44" t="s">
        <v>274</v>
      </c>
      <c r="B263" s="45" t="s">
        <v>275</v>
      </c>
      <c r="C263" s="106">
        <f>20*LOG(IMABS(IMPRODUCT((_Rfb2*kOhm)/((_Rfb1*MegOhm)+(_Rfb2*kOhm)),IMDIV((M_3*Vout_nom)/(M1M2_calc),COMPLEX(1,(2*PI()*fv)/(2*PI()*fPWM_PSpole))))))</f>
        <v>3.1000808129181276</v>
      </c>
      <c r="D263" s="47" t="s">
        <v>276</v>
      </c>
    </row>
    <row r="264" spans="1:4" ht="15.6" x14ac:dyDescent="0.25">
      <c r="A264" s="69" t="s">
        <v>277</v>
      </c>
      <c r="B264" s="70" t="s">
        <v>278</v>
      </c>
      <c r="C264" s="117">
        <f>((((g_mv)*fv)/fPWM_PSpole)/((10^(GVL_dB/20))*2*PI()*fv))/uF</f>
        <v>4.4133005157182801</v>
      </c>
      <c r="D264" s="77" t="s">
        <v>95</v>
      </c>
    </row>
    <row r="265" spans="1:4" ht="15.6" x14ac:dyDescent="0.25">
      <c r="A265" s="44" t="s">
        <v>279</v>
      </c>
      <c r="B265" s="45" t="s">
        <v>280</v>
      </c>
      <c r="C265" s="46">
        <v>4.2</v>
      </c>
      <c r="D265" s="52" t="s">
        <v>194</v>
      </c>
    </row>
    <row r="266" spans="1:4" ht="15.6" x14ac:dyDescent="0.25">
      <c r="A266" s="69" t="s">
        <v>281</v>
      </c>
      <c r="B266" s="70" t="s">
        <v>282</v>
      </c>
      <c r="C266" s="117">
        <f>(1/(2*PI()*fPWM_PSpole*Cvcomp*uF))/(kOhm)</f>
        <v>35.749416758241921</v>
      </c>
      <c r="D266" s="72" t="s">
        <v>219</v>
      </c>
    </row>
    <row r="267" spans="1:4" ht="15.6" x14ac:dyDescent="0.25">
      <c r="A267" s="44" t="s">
        <v>283</v>
      </c>
      <c r="B267" s="45" t="s">
        <v>284</v>
      </c>
      <c r="C267" s="46">
        <v>35</v>
      </c>
      <c r="D267" s="92" t="s">
        <v>221</v>
      </c>
    </row>
    <row r="268" spans="1:4" ht="15.6" x14ac:dyDescent="0.25">
      <c r="A268" s="44" t="s">
        <v>285</v>
      </c>
      <c r="B268" s="45" t="s">
        <v>286</v>
      </c>
      <c r="C268" s="106">
        <f>1/(2*PI()*(Rvcomp*kOhm)*(Cvcomp*uF))</f>
        <v>1.0826866876999686</v>
      </c>
      <c r="D268" s="47" t="s">
        <v>48</v>
      </c>
    </row>
    <row r="269" spans="1:4" ht="15.6" x14ac:dyDescent="0.25">
      <c r="A269" s="44" t="s">
        <v>287</v>
      </c>
      <c r="B269" s="45" t="s">
        <v>288</v>
      </c>
      <c r="C269" s="46">
        <v>20</v>
      </c>
      <c r="D269" s="47" t="s">
        <v>48</v>
      </c>
    </row>
    <row r="270" spans="1:4" ht="15.6" x14ac:dyDescent="0.25">
      <c r="A270" s="69" t="s">
        <v>289</v>
      </c>
      <c r="B270" s="70" t="s">
        <v>290</v>
      </c>
      <c r="C270" s="117">
        <f>((Cvcomp*uF)/((2*PI()*fpole*(Rvcomp*kOhm)*(Cvcomp*uF))-1))/uF</f>
        <v>0.24037684491820652</v>
      </c>
      <c r="D270" s="77" t="s">
        <v>95</v>
      </c>
    </row>
    <row r="271" spans="1:4" ht="15.6" x14ac:dyDescent="0.25">
      <c r="A271" s="93" t="s">
        <v>291</v>
      </c>
      <c r="B271" s="10" t="s">
        <v>292</v>
      </c>
      <c r="C271" s="46">
        <v>0.24</v>
      </c>
      <c r="D271" s="52" t="s">
        <v>194</v>
      </c>
    </row>
    <row r="272" spans="1:4" x14ac:dyDescent="0.25">
      <c r="A272" s="87"/>
      <c r="B272" s="97"/>
      <c r="C272" s="97"/>
      <c r="D272" s="98"/>
    </row>
    <row r="273" spans="1:4" x14ac:dyDescent="0.25">
      <c r="A273" s="87"/>
      <c r="B273" s="97"/>
      <c r="C273" s="97"/>
      <c r="D273" s="98"/>
    </row>
    <row r="274" spans="1:4" x14ac:dyDescent="0.25">
      <c r="A274" s="87"/>
      <c r="B274" s="97"/>
      <c r="C274" s="97"/>
      <c r="D274" s="98"/>
    </row>
    <row r="275" spans="1:4" x14ac:dyDescent="0.25">
      <c r="A275" s="87"/>
      <c r="B275" s="97"/>
      <c r="C275" s="97"/>
      <c r="D275" s="98"/>
    </row>
    <row r="276" spans="1:4" x14ac:dyDescent="0.25">
      <c r="A276" s="87"/>
      <c r="B276" s="97"/>
      <c r="C276" s="97"/>
      <c r="D276" s="98"/>
    </row>
    <row r="277" spans="1:4" x14ac:dyDescent="0.25">
      <c r="A277" s="87"/>
      <c r="B277" s="97"/>
      <c r="C277" s="97"/>
      <c r="D277" s="98"/>
    </row>
    <row r="278" spans="1:4" x14ac:dyDescent="0.25">
      <c r="A278" s="87"/>
      <c r="B278" s="97"/>
      <c r="C278" s="97"/>
      <c r="D278" s="98"/>
    </row>
    <row r="279" spans="1:4" x14ac:dyDescent="0.25">
      <c r="A279" s="87"/>
      <c r="B279" s="97"/>
      <c r="C279" s="97"/>
      <c r="D279" s="98"/>
    </row>
    <row r="280" spans="1:4" x14ac:dyDescent="0.25">
      <c r="A280" s="87"/>
      <c r="B280" s="97"/>
      <c r="C280" s="97"/>
      <c r="D280" s="98"/>
    </row>
    <row r="281" spans="1:4" x14ac:dyDescent="0.25">
      <c r="A281" s="87"/>
      <c r="B281" s="97"/>
      <c r="C281" s="97"/>
      <c r="D281" s="98"/>
    </row>
    <row r="282" spans="1:4" x14ac:dyDescent="0.25">
      <c r="A282" s="87"/>
      <c r="B282" s="97"/>
      <c r="C282" s="97"/>
      <c r="D282" s="98"/>
    </row>
    <row r="283" spans="1:4" x14ac:dyDescent="0.25">
      <c r="A283" s="87"/>
      <c r="B283" s="97"/>
      <c r="C283" s="97"/>
      <c r="D283" s="98"/>
    </row>
    <row r="284" spans="1:4" x14ac:dyDescent="0.25">
      <c r="A284" s="87"/>
      <c r="B284" s="97"/>
      <c r="C284" s="97"/>
      <c r="D284" s="98"/>
    </row>
    <row r="285" spans="1:4" x14ac:dyDescent="0.25">
      <c r="A285" s="87"/>
      <c r="B285" s="97"/>
      <c r="C285" s="97"/>
      <c r="D285" s="98"/>
    </row>
    <row r="286" spans="1:4" x14ac:dyDescent="0.25">
      <c r="A286" s="87"/>
      <c r="B286" s="97"/>
      <c r="C286" s="97"/>
      <c r="D286" s="98"/>
    </row>
    <row r="287" spans="1:4" x14ac:dyDescent="0.25">
      <c r="A287" s="87"/>
      <c r="B287" s="97"/>
      <c r="C287" s="97"/>
      <c r="D287" s="98"/>
    </row>
    <row r="288" spans="1:4" x14ac:dyDescent="0.25">
      <c r="A288" s="87"/>
      <c r="B288" s="97"/>
      <c r="C288" s="97"/>
      <c r="D288" s="98"/>
    </row>
    <row r="289" spans="1:4" x14ac:dyDescent="0.25">
      <c r="A289" s="87"/>
      <c r="B289" s="97"/>
      <c r="C289" s="118"/>
      <c r="D289" s="98"/>
    </row>
    <row r="290" spans="1:4" x14ac:dyDescent="0.25">
      <c r="A290" s="87"/>
      <c r="B290" s="97"/>
      <c r="C290" s="97"/>
      <c r="D290" s="98"/>
    </row>
    <row r="291" spans="1:4" x14ac:dyDescent="0.25">
      <c r="A291" s="87"/>
      <c r="B291" s="97"/>
      <c r="C291" s="97"/>
      <c r="D291" s="98"/>
    </row>
    <row r="292" spans="1:4" x14ac:dyDescent="0.25">
      <c r="A292" s="87"/>
      <c r="B292" s="97"/>
      <c r="C292" s="97"/>
      <c r="D292" s="98"/>
    </row>
    <row r="293" spans="1:4" x14ac:dyDescent="0.25">
      <c r="A293" s="87"/>
      <c r="B293" s="97"/>
      <c r="C293" s="97"/>
      <c r="D293" s="98"/>
    </row>
    <row r="294" spans="1:4" x14ac:dyDescent="0.25">
      <c r="A294" s="87"/>
      <c r="B294" s="97"/>
      <c r="C294" s="97"/>
      <c r="D294" s="98"/>
    </row>
    <row r="295" spans="1:4" x14ac:dyDescent="0.25">
      <c r="A295" s="87"/>
      <c r="B295" s="97"/>
      <c r="C295" s="97"/>
      <c r="D295" s="98"/>
    </row>
    <row r="296" spans="1:4" x14ac:dyDescent="0.25">
      <c r="A296" s="87"/>
      <c r="B296" s="97"/>
      <c r="C296" s="97"/>
      <c r="D296" s="98"/>
    </row>
    <row r="297" spans="1:4" x14ac:dyDescent="0.25">
      <c r="A297" s="87"/>
      <c r="B297" s="97"/>
      <c r="C297" s="97"/>
      <c r="D297" s="98"/>
    </row>
    <row r="298" spans="1:4" x14ac:dyDescent="0.25">
      <c r="A298" s="87"/>
      <c r="B298" s="97"/>
      <c r="C298" s="97"/>
      <c r="D298" s="98"/>
    </row>
    <row r="299" spans="1:4" x14ac:dyDescent="0.25">
      <c r="A299" s="87"/>
      <c r="B299" s="97"/>
      <c r="C299" s="97"/>
      <c r="D299" s="98"/>
    </row>
    <row r="300" spans="1:4" x14ac:dyDescent="0.25">
      <c r="A300" s="87"/>
      <c r="B300" s="97"/>
      <c r="C300" s="97"/>
      <c r="D300" s="98"/>
    </row>
    <row r="301" spans="1:4" x14ac:dyDescent="0.25">
      <c r="A301" s="87"/>
      <c r="B301" s="97"/>
      <c r="C301" s="97"/>
      <c r="D301" s="98"/>
    </row>
    <row r="302" spans="1:4" x14ac:dyDescent="0.25">
      <c r="A302" s="119"/>
      <c r="B302" s="120"/>
      <c r="C302" s="120"/>
      <c r="D302" s="121"/>
    </row>
    <row r="303" spans="1:4" x14ac:dyDescent="0.25">
      <c r="A303" s="119"/>
      <c r="B303" s="120"/>
      <c r="C303" s="120"/>
      <c r="D303" s="121"/>
    </row>
    <row r="306" spans="1:4" ht="15.6" x14ac:dyDescent="0.25">
      <c r="A306" s="145" t="s">
        <v>293</v>
      </c>
      <c r="B306" s="146"/>
      <c r="C306" s="146"/>
      <c r="D306" s="147"/>
    </row>
    <row r="307" spans="1:4" ht="15.6" x14ac:dyDescent="0.25">
      <c r="A307" s="93" t="s">
        <v>294</v>
      </c>
      <c r="B307" s="45" t="s">
        <v>295</v>
      </c>
      <c r="C307" s="46">
        <v>8</v>
      </c>
      <c r="D307" s="47" t="s">
        <v>40</v>
      </c>
    </row>
    <row r="308" spans="1:4" ht="15.6" x14ac:dyDescent="0.25">
      <c r="A308" s="69" t="s">
        <v>296</v>
      </c>
      <c r="B308" s="70" t="s">
        <v>297</v>
      </c>
      <c r="C308" s="71">
        <f>((SQRT(2)*Vac_on)-Vins_ennom)/(Ivins*uA)/MegOhm</f>
        <v>0.65424723326565082</v>
      </c>
      <c r="D308" s="72" t="s">
        <v>207</v>
      </c>
    </row>
    <row r="309" spans="1:4" ht="15.6" x14ac:dyDescent="0.25">
      <c r="A309" s="44" t="s">
        <v>298</v>
      </c>
      <c r="B309" s="45" t="s">
        <v>299</v>
      </c>
      <c r="C309" s="78">
        <v>0.65400000000000003</v>
      </c>
      <c r="D309" s="92" t="s">
        <v>210</v>
      </c>
    </row>
    <row r="310" spans="1:4" ht="15.6" x14ac:dyDescent="0.25">
      <c r="A310" s="69" t="s">
        <v>300</v>
      </c>
      <c r="B310" s="70" t="s">
        <v>301</v>
      </c>
      <c r="C310" s="71">
        <f>((Vins_ennom*(Rvins1*MegOhm))/((SQRT(2)*(Vac_on))-Vins_ennom-Vf_bridge))/kOhm</f>
        <v>110.67602235704868</v>
      </c>
      <c r="D310" s="72" t="s">
        <v>219</v>
      </c>
    </row>
    <row r="311" spans="1:4" ht="15.6" x14ac:dyDescent="0.25">
      <c r="A311" s="44" t="s">
        <v>302</v>
      </c>
      <c r="B311" s="45" t="s">
        <v>303</v>
      </c>
      <c r="C311" s="78">
        <v>110</v>
      </c>
      <c r="D311" s="92" t="s">
        <v>221</v>
      </c>
    </row>
    <row r="312" spans="1:4" ht="15.6" x14ac:dyDescent="0.25">
      <c r="A312" s="93" t="s">
        <v>304</v>
      </c>
      <c r="B312" s="10" t="s">
        <v>305</v>
      </c>
      <c r="C312" s="122">
        <f>(SQRT(2)*(Vins_ennom+(Rvins1*MegOhm*Vins_ennom/(Rvins2*kOhm))))/2</f>
        <v>7.3667670112707588</v>
      </c>
      <c r="D312" s="47" t="s">
        <v>40</v>
      </c>
    </row>
    <row r="313" spans="1:4" ht="15.6" x14ac:dyDescent="0.25">
      <c r="A313" s="93" t="s">
        <v>306</v>
      </c>
      <c r="B313" s="10" t="s">
        <v>307</v>
      </c>
      <c r="C313" s="122">
        <f>(SQRT(2)*(Vins_enmax+(Rvins1*MegOhm*Vins_enmax/(Rvins2*kOhm))))/2</f>
        <v>7.8578848120221432</v>
      </c>
      <c r="D313" s="47" t="s">
        <v>40</v>
      </c>
    </row>
    <row r="314" spans="1:4" ht="15.6" x14ac:dyDescent="0.25">
      <c r="A314" s="93" t="s">
        <v>308</v>
      </c>
      <c r="B314" s="10" t="s">
        <v>309</v>
      </c>
      <c r="C314" s="122">
        <f>(SQRT(2)*(Vins_enmin+(Rvins1*MegOhm*Vins_enmin/(Rvins2*kOhm))))/2</f>
        <v>6.8756492105193763</v>
      </c>
      <c r="D314" s="47" t="s">
        <v>40</v>
      </c>
    </row>
    <row r="315" spans="1:4" ht="15.6" x14ac:dyDescent="0.25">
      <c r="A315" s="44" t="s">
        <v>310</v>
      </c>
      <c r="B315" s="45" t="s">
        <v>311</v>
      </c>
      <c r="C315" s="84">
        <f>((Vin_rect_max^2)/((Rvins1*MegOhm)+(Rvins2*kOhm)))/mW</f>
        <v>4.1884816753926701</v>
      </c>
      <c r="D315" s="47" t="s">
        <v>312</v>
      </c>
    </row>
    <row r="317" spans="1:4" ht="15.6" x14ac:dyDescent="0.25">
      <c r="A317" s="145" t="s">
        <v>313</v>
      </c>
      <c r="B317" s="146"/>
      <c r="C317" s="146"/>
      <c r="D317" s="147"/>
    </row>
    <row r="318" spans="1:4" ht="15.6" x14ac:dyDescent="0.25">
      <c r="A318" s="93" t="s">
        <v>314</v>
      </c>
      <c r="B318" s="10" t="s">
        <v>315</v>
      </c>
      <c r="C318" s="46">
        <v>45</v>
      </c>
      <c r="D318" s="47" t="s">
        <v>40</v>
      </c>
    </row>
    <row r="319" spans="1:4" x14ac:dyDescent="0.25">
      <c r="A319" s="87"/>
      <c r="B319" s="97"/>
      <c r="C319" s="97"/>
      <c r="D319" s="98"/>
    </row>
    <row r="320" spans="1:4" ht="15.6" x14ac:dyDescent="0.25">
      <c r="A320" s="123" t="s">
        <v>316</v>
      </c>
      <c r="B320" s="124" t="s">
        <v>317</v>
      </c>
      <c r="C320" s="125" t="s">
        <v>318</v>
      </c>
      <c r="D320" s="126"/>
    </row>
    <row r="321" spans="1:4" ht="15.6" x14ac:dyDescent="0.25">
      <c r="A321" s="165"/>
      <c r="B321" s="166"/>
      <c r="C321" s="166"/>
      <c r="D321" s="167"/>
    </row>
    <row r="322" spans="1:4" ht="15.6" x14ac:dyDescent="0.25">
      <c r="A322" s="154" t="str">
        <f>IF(C320="YES","ENTER NUMBER OF HALF-LINE CYCLES REQUIRED FOR INPUT LINE HOLD-UP","CVINS CALCULATED BASED UPON NO HOLD-UP REQUIREMENTS")</f>
        <v>CVINS CALCULATED BASED UPON NO HOLD-UP REQUIREMENTS</v>
      </c>
      <c r="B322" s="155"/>
      <c r="C322" s="155"/>
      <c r="D322" s="156"/>
    </row>
    <row r="323" spans="1:4" ht="15.6" x14ac:dyDescent="0.25">
      <c r="A323" s="93" t="s">
        <v>319</v>
      </c>
      <c r="B323" s="10" t="s">
        <v>320</v>
      </c>
      <c r="C323" s="127">
        <v>2</v>
      </c>
      <c r="D323" s="126"/>
    </row>
    <row r="324" spans="1:4" ht="15.6" x14ac:dyDescent="0.25">
      <c r="A324" s="93" t="s">
        <v>321</v>
      </c>
      <c r="B324" s="10" t="s">
        <v>322</v>
      </c>
      <c r="C324" s="128">
        <f>IF(HU_rqment="YES",(Ninput_hup/(2*fline_min))/ms,(1/(2*fline_min))/ms)</f>
        <v>10.6382978723404</v>
      </c>
      <c r="D324" s="92" t="s">
        <v>189</v>
      </c>
    </row>
    <row r="325" spans="1:4" ht="15.6" x14ac:dyDescent="0.25">
      <c r="A325" s="69" t="s">
        <v>323</v>
      </c>
      <c r="B325" s="70" t="s">
        <v>324</v>
      </c>
      <c r="C325" s="71">
        <f>(-(tinput_hu*ms)/(Rvins2*kOhm*LN((SQRT(2)*Vins_brnnom*(Rvins1*MegOhm+Rvins2*kOhm))/(2*Rvins2*kOhm*Vacoff_desired))))/uF</f>
        <v>4.0069528940830525E-2</v>
      </c>
      <c r="D325" s="77" t="s">
        <v>95</v>
      </c>
    </row>
    <row r="326" spans="1:4" ht="15.6" x14ac:dyDescent="0.25">
      <c r="A326" s="114" t="s">
        <v>325</v>
      </c>
      <c r="B326" s="10" t="s">
        <v>326</v>
      </c>
      <c r="C326" s="129">
        <v>1</v>
      </c>
      <c r="D326" s="52" t="s">
        <v>194</v>
      </c>
    </row>
    <row r="327" spans="1:4" ht="15.6" x14ac:dyDescent="0.25">
      <c r="A327" s="93" t="s">
        <v>327</v>
      </c>
      <c r="B327" s="10" t="s">
        <v>328</v>
      </c>
      <c r="C327" s="122" t="str">
        <f>IF(HU_rqment="NO","No Dropout Req'd",(SQRT(2)*Vins_brnnom*EXP((tinput_hu*ms)/(Cvins_hu*uF*Rvins2*kOhm))*(Rvins1*MegOhm+Rvins2*kOhm))/(2*Rvins2*kOhm))</f>
        <v>No Dropout Req'd</v>
      </c>
      <c r="D327" s="47" t="s">
        <v>40</v>
      </c>
    </row>
    <row r="328" spans="1:4" ht="15.6" x14ac:dyDescent="0.25">
      <c r="A328" s="93" t="s">
        <v>329</v>
      </c>
      <c r="B328" s="10" t="s">
        <v>330</v>
      </c>
      <c r="C328" s="122" t="str">
        <f>IF(HU_rqment="NO","No Dropout Req'd",(SQRT(2)*Vins_brnmax*EXP((tinput_hu*ms)/(Cvins_hu*uF*Rvins2*kOhm))*(Rvins1*MegOhm+Rvins2*kOhm))/(2*Rvins2*kOhm))</f>
        <v>No Dropout Req'd</v>
      </c>
      <c r="D328" s="47" t="s">
        <v>40</v>
      </c>
    </row>
    <row r="329" spans="1:4" ht="15.6" x14ac:dyDescent="0.25">
      <c r="A329" s="93" t="s">
        <v>331</v>
      </c>
      <c r="B329" s="10" t="s">
        <v>332</v>
      </c>
      <c r="C329" s="122" t="str">
        <f>IF(HU_rqment="NO","No Dropout Req'd",(SQRT(2)*Vins_brnmin*EXP((tinput_hu*ms)/(Cvins_hu*uF*Rvins2*kOhm))*(Rvins1*MegOhm+Rvins2*kOhm))/(2*Rvins2*kOhm))</f>
        <v>No Dropout Req'd</v>
      </c>
      <c r="D329" s="47" t="s">
        <v>40</v>
      </c>
    </row>
    <row r="330" spans="1:4" ht="15.6" x14ac:dyDescent="0.25">
      <c r="A330" s="93" t="s">
        <v>333</v>
      </c>
      <c r="B330" s="10" t="s">
        <v>334</v>
      </c>
      <c r="C330" s="122">
        <f>(SQRT(2)*Vins_brnnom*EXP((1/(2*fline_min))/(Cvins_hu*uF*Rvins2*kOhm))*(Rvins1*MegOhm+Rvins2*kOhm))/(2*Rvins2*kOhm)</f>
        <v>4.4360959238662678</v>
      </c>
      <c r="D330" s="47" t="s">
        <v>40</v>
      </c>
    </row>
    <row r="331" spans="1:4" ht="15.6" x14ac:dyDescent="0.25">
      <c r="A331" s="93" t="s">
        <v>335</v>
      </c>
      <c r="B331" s="10" t="s">
        <v>336</v>
      </c>
      <c r="C331" s="122">
        <f>(SQRT(2)*Vins_brnmax*EXP((1/(2*fline_min))/(Cvins_hu*uF*Rvins2*kOhm))*(Rvins1*MegOhm+Rvins2*kOhm))/(2*Rvins2*kOhm)</f>
        <v>4.7606883085394092</v>
      </c>
      <c r="D331" s="47" t="s">
        <v>40</v>
      </c>
    </row>
    <row r="332" spans="1:4" ht="15.6" x14ac:dyDescent="0.25">
      <c r="A332" s="94" t="s">
        <v>337</v>
      </c>
      <c r="B332" s="95" t="s">
        <v>338</v>
      </c>
      <c r="C332" s="130">
        <f>(SQRT(2)*Vins_brnmin*EXP((1/(2*fline_min))/(Cvins_hu*uF*Rvins2*kOhm))*(Rvins1*MegOhm+Rvins2*kOhm))/(2*Rvins2*kOhm)</f>
        <v>4.1115035391931265</v>
      </c>
      <c r="D332" s="56" t="s">
        <v>40</v>
      </c>
    </row>
    <row r="333" spans="1:4" x14ac:dyDescent="0.25">
      <c r="A333"/>
      <c r="B333"/>
      <c r="C333"/>
      <c r="D333"/>
    </row>
    <row r="334" spans="1:4" x14ac:dyDescent="0.25">
      <c r="A334"/>
      <c r="B334"/>
      <c r="C334"/>
      <c r="D334"/>
    </row>
  </sheetData>
  <sheetProtection password="E59D" sheet="1" objects="1" scenarios="1"/>
  <mergeCells count="37">
    <mergeCell ref="A1:D1"/>
    <mergeCell ref="A2:D2"/>
    <mergeCell ref="A3:D3"/>
    <mergeCell ref="C7:D7"/>
    <mergeCell ref="A8:D8"/>
    <mergeCell ref="A322:D322"/>
    <mergeCell ref="A62:D63"/>
    <mergeCell ref="A74:D75"/>
    <mergeCell ref="A119:D120"/>
    <mergeCell ref="A141:D142"/>
    <mergeCell ref="A106:D107"/>
    <mergeCell ref="A144:D144"/>
    <mergeCell ref="A260:D260"/>
    <mergeCell ref="A306:D306"/>
    <mergeCell ref="A317:D317"/>
    <mergeCell ref="A321:D321"/>
    <mergeCell ref="A94:D94"/>
    <mergeCell ref="A108:D108"/>
    <mergeCell ref="A115:D115"/>
    <mergeCell ref="A121:D121"/>
    <mergeCell ref="A143:D143"/>
    <mergeCell ref="A35:D36"/>
    <mergeCell ref="A45:D46"/>
    <mergeCell ref="A4:D6"/>
    <mergeCell ref="A92:D93"/>
    <mergeCell ref="A53:D54"/>
    <mergeCell ref="A37:D37"/>
    <mergeCell ref="A47:D47"/>
    <mergeCell ref="A55:D55"/>
    <mergeCell ref="A64:D64"/>
    <mergeCell ref="A76:D76"/>
    <mergeCell ref="A9:D9"/>
    <mergeCell ref="A10:D10"/>
    <mergeCell ref="A11:D11"/>
    <mergeCell ref="A12:D12"/>
    <mergeCell ref="A21:D21"/>
    <mergeCell ref="A19:D20"/>
  </mergeCells>
  <phoneticPr fontId="38" type="noConversion"/>
  <dataValidations count="3">
    <dataValidation type="decimal" operator="greaterThanOrEqual" allowBlank="1" showInputMessage="1" showErrorMessage="1" errorTitle="Minimum turnoff voltage" error="Must be greater than or equal to 60% of Vac(on)" promptTitle="Minimum Turn-Off Voltage" prompt="Turn-Off Voltage Must Be Greater Than or Equal to 60% of the Turn-On Voltage (Vac(on))" sqref="C318">
      <formula1>0.6*C307</formula1>
    </dataValidation>
    <dataValidation type="list" allowBlank="1" showInputMessage="1" showErrorMessage="1" sqref="C320">
      <formula1>"YES,NO"</formula1>
    </dataValidation>
    <dataValidation type="decimal" operator="greaterThanOrEqual" allowBlank="1" showInputMessage="1" showErrorMessage="1" errorTitle="Half-line Dropout" error="Number of half-line cycles for input line hold-up must be greater than 2 x Nholdup used for output capacitor calculation." promptTitle="Half-Line Dropout Cycles" prompt="Enter number of half-line dropout cycles required for inut hold-up.  If no hold-up required, leave blank." sqref="C323">
      <formula1>2*C110</formula1>
    </dataValidation>
  </dataValidations>
  <pageMargins left="0.75" right="0.75" top="1" bottom="1" header="0.5" footer="0.5"/>
  <pageSetup orientation="portrait"/>
  <headerFooter alignWithMargins="0">
    <oddHeader>&amp;L&amp;F
&amp;D</oddHead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97"/>
  <sheetViews>
    <sheetView workbookViewId="0">
      <selection activeCell="J19" sqref="J19"/>
    </sheetView>
  </sheetViews>
  <sheetFormatPr defaultColWidth="9.109375" defaultRowHeight="13.2" x14ac:dyDescent="0.25"/>
  <cols>
    <col min="1" max="1" width="9.109375" style="19"/>
    <col min="2" max="2" width="39" style="19" customWidth="1"/>
    <col min="3" max="3" width="44.6640625" style="19" customWidth="1"/>
    <col min="4" max="4" width="17.5546875" style="19" customWidth="1"/>
    <col min="5" max="5" width="66.6640625" style="19" customWidth="1"/>
    <col min="6" max="16384" width="9.109375" style="19"/>
  </cols>
  <sheetData>
    <row r="1" spans="1:16" ht="21" x14ac:dyDescent="0.25">
      <c r="A1" s="183" t="s">
        <v>339</v>
      </c>
      <c r="B1" s="183"/>
      <c r="C1" s="183"/>
      <c r="D1" s="183"/>
      <c r="E1" s="183"/>
      <c r="F1" s="183"/>
      <c r="G1" s="20"/>
      <c r="H1" s="20"/>
      <c r="I1" s="20"/>
      <c r="J1" s="20"/>
      <c r="K1" s="20"/>
      <c r="L1" s="20"/>
      <c r="M1" s="20"/>
      <c r="N1" s="20"/>
      <c r="O1" s="20"/>
      <c r="P1" s="20"/>
    </row>
    <row r="2" spans="1:16" ht="12.75" customHeight="1" x14ac:dyDescent="0.25">
      <c r="A2" s="183"/>
      <c r="B2" s="183"/>
      <c r="C2" s="183"/>
      <c r="D2" s="183"/>
      <c r="E2" s="183"/>
      <c r="F2" s="183"/>
      <c r="G2" s="20"/>
    </row>
    <row r="36" spans="2:5" ht="17.399999999999999" x14ac:dyDescent="0.25">
      <c r="B36" s="191" t="s">
        <v>340</v>
      </c>
      <c r="C36" s="192"/>
      <c r="D36" s="192"/>
      <c r="E36" s="193"/>
    </row>
    <row r="37" spans="2:5" ht="21" x14ac:dyDescent="0.25">
      <c r="B37" s="21" t="s">
        <v>341</v>
      </c>
      <c r="C37" s="194" t="s">
        <v>342</v>
      </c>
      <c r="D37" s="194"/>
      <c r="E37" s="195"/>
    </row>
    <row r="38" spans="2:5" ht="20.399999999999999" x14ac:dyDescent="0.25">
      <c r="B38" s="184" t="s">
        <v>343</v>
      </c>
      <c r="C38" s="22" t="s">
        <v>344</v>
      </c>
      <c r="D38" s="187" t="s">
        <v>345</v>
      </c>
      <c r="E38" s="188"/>
    </row>
    <row r="39" spans="2:5" ht="20.399999999999999" x14ac:dyDescent="0.25">
      <c r="B39" s="179"/>
      <c r="C39" s="23" t="s">
        <v>346</v>
      </c>
      <c r="D39" s="23">
        <f>IF(Vin_max&lt;270,250,350)</f>
        <v>250</v>
      </c>
      <c r="E39" s="24" t="str">
        <f>CALCULATIONS!D23</f>
        <v>VRMS</v>
      </c>
    </row>
    <row r="40" spans="2:5" ht="20.399999999999999" x14ac:dyDescent="0.25">
      <c r="B40" s="180"/>
      <c r="C40" s="25" t="s">
        <v>347</v>
      </c>
      <c r="D40" s="26">
        <f>Ifuse</f>
        <v>15.304560759106215</v>
      </c>
      <c r="E40" s="27" t="str">
        <f>CALCULATIONS!D34</f>
        <v>A</v>
      </c>
    </row>
    <row r="41" spans="2:5" ht="20.399999999999999" x14ac:dyDescent="0.25">
      <c r="B41" s="184" t="s">
        <v>348</v>
      </c>
      <c r="C41" s="22" t="s">
        <v>349</v>
      </c>
      <c r="D41" s="28">
        <f>CALCULATIONS!C42</f>
        <v>62.225396744416187</v>
      </c>
      <c r="E41" s="29" t="str">
        <f>CALCULATIONS!D42</f>
        <v>V</v>
      </c>
    </row>
    <row r="42" spans="2:5" ht="20.399999999999999" x14ac:dyDescent="0.25">
      <c r="B42" s="179"/>
      <c r="C42" s="23" t="s">
        <v>347</v>
      </c>
      <c r="D42" s="30">
        <f>Ibridge</f>
        <v>13.778945763041113</v>
      </c>
      <c r="E42" s="24" t="str">
        <f>CALCULATIONS!D41</f>
        <v>A</v>
      </c>
    </row>
    <row r="43" spans="2:5" ht="20.399999999999999" x14ac:dyDescent="0.25">
      <c r="B43" s="180"/>
      <c r="C43" s="25" t="s">
        <v>350</v>
      </c>
      <c r="D43" s="26">
        <f>Pbridge</f>
        <v>17.453331299852074</v>
      </c>
      <c r="E43" s="27" t="str">
        <f>CALCULATIONS!D43</f>
        <v>W</v>
      </c>
    </row>
    <row r="44" spans="2:5" ht="20.399999999999999" x14ac:dyDescent="0.25">
      <c r="B44" s="184" t="s">
        <v>351</v>
      </c>
      <c r="C44" s="22" t="s">
        <v>344</v>
      </c>
      <c r="D44" s="187" t="s">
        <v>352</v>
      </c>
      <c r="E44" s="188"/>
    </row>
    <row r="45" spans="2:5" ht="21" x14ac:dyDescent="0.25">
      <c r="B45" s="179"/>
      <c r="C45" s="23" t="s">
        <v>353</v>
      </c>
      <c r="D45" s="30">
        <f>Cin</f>
        <v>13.080821161629247</v>
      </c>
      <c r="E45" s="31" t="s">
        <v>354</v>
      </c>
    </row>
    <row r="46" spans="2:5" ht="24" x14ac:dyDescent="0.25">
      <c r="B46" s="179"/>
      <c r="C46" s="23" t="s">
        <v>355</v>
      </c>
      <c r="D46" s="32">
        <f>Vin_max</f>
        <v>40</v>
      </c>
      <c r="E46" s="24" t="s">
        <v>356</v>
      </c>
    </row>
    <row r="47" spans="2:5" ht="20.399999999999999" x14ac:dyDescent="0.25">
      <c r="B47" s="184" t="s">
        <v>357</v>
      </c>
      <c r="C47" s="22" t="s">
        <v>358</v>
      </c>
      <c r="D47" s="33">
        <f>IF(Lbst="",CALCULATIONS!C58,Lbst)</f>
        <v>0.47</v>
      </c>
      <c r="E47" s="29" t="str">
        <f>CALCULATIONS!D59</f>
        <v>mH</v>
      </c>
    </row>
    <row r="48" spans="2:5" ht="20.399999999999999" x14ac:dyDescent="0.25">
      <c r="B48" s="179"/>
      <c r="C48" s="23" t="s">
        <v>359</v>
      </c>
      <c r="D48" s="30">
        <f>IF(Il_peak_actual="",I_Lpeak,Il_peak_actual)</f>
        <v>14.777068768492363</v>
      </c>
      <c r="E48" s="24" t="str">
        <f>CALCULATIONS!D61</f>
        <v>A</v>
      </c>
    </row>
    <row r="49" spans="2:5" ht="20.399999999999999" x14ac:dyDescent="0.25">
      <c r="B49" s="179"/>
      <c r="C49" s="23" t="s">
        <v>360</v>
      </c>
      <c r="D49" s="30">
        <f>Iripple_actual</f>
        <v>0.69558101472995104</v>
      </c>
      <c r="E49" s="24" t="str">
        <f>CALCULATIONS!D60</f>
        <v>A</v>
      </c>
    </row>
    <row r="50" spans="2:5" ht="20.399999999999999" x14ac:dyDescent="0.25">
      <c r="B50" s="180"/>
      <c r="C50" s="25" t="s">
        <v>97</v>
      </c>
      <c r="D50" s="34">
        <f>Dmax</f>
        <v>0.83362193383845939</v>
      </c>
      <c r="E50" s="27"/>
    </row>
    <row r="51" spans="2:5" ht="20.399999999999999" x14ac:dyDescent="0.25">
      <c r="B51" s="184" t="s">
        <v>361</v>
      </c>
      <c r="C51" s="22" t="s">
        <v>344</v>
      </c>
      <c r="D51" s="187" t="s">
        <v>362</v>
      </c>
      <c r="E51" s="188"/>
    </row>
    <row r="52" spans="2:5" ht="20.399999999999999" x14ac:dyDescent="0.25">
      <c r="B52" s="179"/>
      <c r="C52" s="23" t="s">
        <v>363</v>
      </c>
      <c r="D52" s="30">
        <f>Iin_avg_max</f>
        <v>9.1859638420274088</v>
      </c>
      <c r="E52" s="24" t="str">
        <f>CALCULATIONS!D33</f>
        <v>A</v>
      </c>
    </row>
    <row r="53" spans="2:5" ht="20.399999999999999" x14ac:dyDescent="0.25">
      <c r="B53" s="179"/>
      <c r="C53" s="23" t="s">
        <v>355</v>
      </c>
      <c r="D53" s="23">
        <f>Vout</f>
        <v>85</v>
      </c>
      <c r="E53" s="24" t="str">
        <f>CALCULATIONS!D14</f>
        <v>V</v>
      </c>
    </row>
    <row r="54" spans="2:5" ht="20.399999999999999" x14ac:dyDescent="0.25">
      <c r="B54" s="180"/>
      <c r="C54" s="25" t="s">
        <v>350</v>
      </c>
      <c r="D54" s="26">
        <f>Pdiode</f>
        <v>1.76470588235294</v>
      </c>
      <c r="E54" s="27" t="str">
        <f>CALCULATIONS!D72</f>
        <v>W</v>
      </c>
    </row>
    <row r="55" spans="2:5" ht="20.399999999999999" x14ac:dyDescent="0.25">
      <c r="B55" s="184" t="s">
        <v>364</v>
      </c>
      <c r="C55" s="22" t="s">
        <v>344</v>
      </c>
      <c r="D55" s="187" t="s">
        <v>365</v>
      </c>
      <c r="E55" s="188"/>
    </row>
    <row r="56" spans="2:5" ht="20.399999999999999" x14ac:dyDescent="0.25">
      <c r="B56" s="179"/>
      <c r="C56" s="23" t="s">
        <v>366</v>
      </c>
      <c r="D56" s="30">
        <f>Ids_rms</f>
        <v>9.2670055098237754</v>
      </c>
      <c r="E56" s="24" t="str">
        <f>CALCULATIONS!D79</f>
        <v>A</v>
      </c>
    </row>
    <row r="57" spans="2:5" ht="20.399999999999999" x14ac:dyDescent="0.25">
      <c r="B57" s="179"/>
      <c r="C57" s="23" t="s">
        <v>359</v>
      </c>
      <c r="D57" s="30">
        <f>Il_peak_actual</f>
        <v>14.777068768492363</v>
      </c>
      <c r="E57" s="24" t="str">
        <f>CALCULATIONS!D61</f>
        <v>A</v>
      </c>
    </row>
    <row r="58" spans="2:5" ht="20.399999999999999" x14ac:dyDescent="0.25">
      <c r="B58" s="179"/>
      <c r="C58" s="23" t="s">
        <v>346</v>
      </c>
      <c r="D58" s="32">
        <f>Vin_rect_max</f>
        <v>56.568542494923804</v>
      </c>
      <c r="E58" s="24" t="str">
        <f>CALCULATIONS!D29</f>
        <v>V</v>
      </c>
    </row>
    <row r="59" spans="2:5" ht="20.399999999999999" x14ac:dyDescent="0.25">
      <c r="B59" s="180"/>
      <c r="C59" s="25" t="s">
        <v>350</v>
      </c>
      <c r="D59" s="26">
        <f>P_FET</f>
        <v>30.618919013051936</v>
      </c>
      <c r="E59" s="27" t="str">
        <f>CALCULATIONS!D90</f>
        <v>W</v>
      </c>
    </row>
    <row r="60" spans="2:5" ht="20.399999999999999" x14ac:dyDescent="0.25">
      <c r="B60" s="184" t="s">
        <v>367</v>
      </c>
      <c r="C60" s="22" t="s">
        <v>344</v>
      </c>
      <c r="D60" s="187" t="s">
        <v>368</v>
      </c>
      <c r="E60" s="188"/>
    </row>
    <row r="61" spans="2:5" ht="21" x14ac:dyDescent="0.25">
      <c r="B61" s="179"/>
      <c r="C61" s="23" t="s">
        <v>353</v>
      </c>
      <c r="D61" s="23">
        <f>IF(Rsense="",CALCULATIONS!C95,Rsense)</f>
        <v>0.02</v>
      </c>
      <c r="E61" s="31" t="s">
        <v>23</v>
      </c>
    </row>
    <row r="62" spans="2:5" ht="20.399999999999999" x14ac:dyDescent="0.25">
      <c r="B62" s="180"/>
      <c r="C62" s="25" t="s">
        <v>350</v>
      </c>
      <c r="D62" s="35">
        <f>P_Rsense</f>
        <v>2.0820407113704338</v>
      </c>
      <c r="E62" s="27" t="str">
        <f>CALCULATIONS!D98</f>
        <v>W</v>
      </c>
    </row>
    <row r="63" spans="2:5" ht="20.399999999999999" x14ac:dyDescent="0.25">
      <c r="B63" s="184" t="s">
        <v>369</v>
      </c>
      <c r="C63" s="22" t="s">
        <v>344</v>
      </c>
      <c r="D63" s="189" t="s">
        <v>370</v>
      </c>
      <c r="E63" s="190"/>
    </row>
    <row r="64" spans="2:5" ht="21" x14ac:dyDescent="0.25">
      <c r="B64" s="180"/>
      <c r="C64" s="25" t="s">
        <v>353</v>
      </c>
      <c r="D64" s="25">
        <f>Risense_actual</f>
        <v>10</v>
      </c>
      <c r="E64" s="36" t="s">
        <v>23</v>
      </c>
    </row>
    <row r="65" spans="2:5" ht="20.399999999999999" x14ac:dyDescent="0.25">
      <c r="B65" s="184" t="s">
        <v>371</v>
      </c>
      <c r="C65" s="22" t="s">
        <v>344</v>
      </c>
      <c r="D65" s="187" t="s">
        <v>372</v>
      </c>
      <c r="E65" s="188"/>
    </row>
    <row r="66" spans="2:5" ht="20.399999999999999" x14ac:dyDescent="0.25">
      <c r="B66" s="180"/>
      <c r="C66" s="25" t="s">
        <v>353</v>
      </c>
      <c r="D66" s="37">
        <f>Cisense</f>
        <v>24485.375860291591</v>
      </c>
      <c r="E66" s="27" t="str">
        <f>CALCULATIONS!D105</f>
        <v>pF</v>
      </c>
    </row>
    <row r="67" spans="2:5" ht="20.399999999999999" x14ac:dyDescent="0.25">
      <c r="B67" s="184" t="s">
        <v>373</v>
      </c>
      <c r="C67" s="22" t="s">
        <v>344</v>
      </c>
      <c r="D67" s="187" t="s">
        <v>374</v>
      </c>
      <c r="E67" s="188"/>
    </row>
    <row r="68" spans="2:5" ht="21" x14ac:dyDescent="0.25">
      <c r="B68" s="179"/>
      <c r="C68" s="23" t="s">
        <v>353</v>
      </c>
      <c r="D68" s="23">
        <f>IF(Cout="",CALCULATIONS!C112,Cout)</f>
        <v>2200</v>
      </c>
      <c r="E68" s="31" t="s">
        <v>354</v>
      </c>
    </row>
    <row r="69" spans="2:5" ht="20.399999999999999" x14ac:dyDescent="0.25">
      <c r="B69" s="179"/>
      <c r="C69" s="23" t="s">
        <v>346</v>
      </c>
      <c r="D69" s="32">
        <f>CALCULATIONS!C134*1.05</f>
        <v>92.556692307692316</v>
      </c>
      <c r="E69" s="24" t="s">
        <v>26</v>
      </c>
    </row>
    <row r="70" spans="2:5" ht="24" x14ac:dyDescent="0.25">
      <c r="B70" s="179"/>
      <c r="C70" s="23" t="s">
        <v>375</v>
      </c>
      <c r="D70" s="38">
        <f>Icout_2fline</f>
        <v>0.83189033080770303</v>
      </c>
      <c r="E70" s="24" t="s">
        <v>376</v>
      </c>
    </row>
    <row r="71" spans="2:5" ht="24" x14ac:dyDescent="0.25">
      <c r="B71" s="180"/>
      <c r="C71" s="25" t="s">
        <v>377</v>
      </c>
      <c r="D71" s="34">
        <f>Icout_HF</f>
        <v>3.4708045628386577</v>
      </c>
      <c r="E71" s="27" t="s">
        <v>376</v>
      </c>
    </row>
    <row r="72" spans="2:5" ht="20.399999999999999" x14ac:dyDescent="0.25">
      <c r="B72" s="184" t="s">
        <v>378</v>
      </c>
      <c r="C72" s="22" t="s">
        <v>344</v>
      </c>
      <c r="D72" s="187" t="s">
        <v>379</v>
      </c>
      <c r="E72" s="188"/>
    </row>
    <row r="73" spans="2:5" ht="21" x14ac:dyDescent="0.25">
      <c r="B73" s="180"/>
      <c r="C73" s="25" t="s">
        <v>353</v>
      </c>
      <c r="D73" s="25">
        <f>IF(_Rfb1="",CALCULATIONS!C122,_Rfb1)</f>
        <v>0.2</v>
      </c>
      <c r="E73" s="27" t="s">
        <v>380</v>
      </c>
    </row>
    <row r="74" spans="2:5" ht="20.399999999999999" x14ac:dyDescent="0.25">
      <c r="B74" s="184" t="s">
        <v>381</v>
      </c>
      <c r="C74" s="22" t="s">
        <v>344</v>
      </c>
      <c r="D74" s="187" t="s">
        <v>382</v>
      </c>
      <c r="E74" s="188"/>
    </row>
    <row r="75" spans="2:5" ht="21" x14ac:dyDescent="0.25">
      <c r="B75" s="180"/>
      <c r="C75" s="25" t="s">
        <v>353</v>
      </c>
      <c r="D75" s="25">
        <f>IF(_Rfb2="",CALCULATIONS!C126,_Rfb2)</f>
        <v>13</v>
      </c>
      <c r="E75" s="27" t="s">
        <v>383</v>
      </c>
    </row>
    <row r="76" spans="2:5" ht="20.399999999999999" x14ac:dyDescent="0.25">
      <c r="B76" s="184" t="s">
        <v>384</v>
      </c>
      <c r="C76" s="22" t="s">
        <v>344</v>
      </c>
      <c r="D76" s="187" t="s">
        <v>385</v>
      </c>
      <c r="E76" s="188"/>
    </row>
    <row r="77" spans="2:5" ht="20.399999999999999" x14ac:dyDescent="0.25">
      <c r="B77" s="180"/>
      <c r="C77" s="25" t="s">
        <v>353</v>
      </c>
      <c r="D77" s="37">
        <f>Cvsense</f>
        <v>769.23076923076906</v>
      </c>
      <c r="E77" s="27" t="s">
        <v>146</v>
      </c>
    </row>
    <row r="78" spans="2:5" ht="20.25" customHeight="1" x14ac:dyDescent="0.25">
      <c r="B78" s="184" t="s">
        <v>386</v>
      </c>
      <c r="C78" s="22" t="s">
        <v>344</v>
      </c>
      <c r="D78" s="187" t="s">
        <v>385</v>
      </c>
      <c r="E78" s="188"/>
    </row>
    <row r="79" spans="2:5" ht="20.399999999999999" x14ac:dyDescent="0.25">
      <c r="B79" s="180"/>
      <c r="C79" s="25" t="s">
        <v>353</v>
      </c>
      <c r="D79" s="25">
        <f>IF(CALCULATIONS!C175="",CALCULATIONS!C174,CALCULATIONS!C175)</f>
        <v>550</v>
      </c>
      <c r="E79" s="27" t="s">
        <v>146</v>
      </c>
    </row>
    <row r="80" spans="2:5" ht="20.25" customHeight="1" x14ac:dyDescent="0.25">
      <c r="B80" s="184" t="s">
        <v>387</v>
      </c>
      <c r="C80" s="22" t="s">
        <v>344</v>
      </c>
      <c r="D80" s="187" t="s">
        <v>388</v>
      </c>
      <c r="E80" s="188"/>
    </row>
    <row r="81" spans="2:5" ht="21" x14ac:dyDescent="0.25">
      <c r="B81" s="180"/>
      <c r="C81" s="25" t="s">
        <v>353</v>
      </c>
      <c r="D81" s="25">
        <f>IF(CALCULATIONS!C265="",CALCULATIONS!C264,CALCULATIONS!C265)</f>
        <v>4.2</v>
      </c>
      <c r="E81" s="36" t="s">
        <v>354</v>
      </c>
    </row>
    <row r="82" spans="2:5" ht="20.399999999999999" x14ac:dyDescent="0.25">
      <c r="B82" s="179" t="s">
        <v>389</v>
      </c>
      <c r="C82" s="23" t="s">
        <v>344</v>
      </c>
      <c r="D82" s="185" t="s">
        <v>382</v>
      </c>
      <c r="E82" s="186"/>
    </row>
    <row r="83" spans="2:5" ht="21" x14ac:dyDescent="0.25">
      <c r="B83" s="180"/>
      <c r="C83" s="25" t="s">
        <v>353</v>
      </c>
      <c r="D83" s="25">
        <f>IF(CALCULATIONS!C267="",CALCULATIONS!C266,CALCULATIONS!C267)</f>
        <v>35</v>
      </c>
      <c r="E83" s="27" t="s">
        <v>383</v>
      </c>
    </row>
    <row r="84" spans="2:5" ht="20.399999999999999" x14ac:dyDescent="0.25">
      <c r="B84" s="184" t="s">
        <v>390</v>
      </c>
      <c r="C84" s="22" t="s">
        <v>344</v>
      </c>
      <c r="D84" s="187" t="s">
        <v>388</v>
      </c>
      <c r="E84" s="188"/>
    </row>
    <row r="85" spans="2:5" ht="21" x14ac:dyDescent="0.25">
      <c r="B85" s="180"/>
      <c r="C85" s="25" t="s">
        <v>353</v>
      </c>
      <c r="D85" s="25">
        <f>IF(CALCULATIONS!C271="",CALCULATIONS!C270,CALCULATIONS!C271)</f>
        <v>0.24</v>
      </c>
      <c r="E85" s="36" t="s">
        <v>354</v>
      </c>
    </row>
    <row r="86" spans="2:5" ht="20.399999999999999" x14ac:dyDescent="0.25">
      <c r="B86" s="179" t="s">
        <v>391</v>
      </c>
      <c r="C86" s="23" t="s">
        <v>344</v>
      </c>
      <c r="D86" s="185" t="s">
        <v>379</v>
      </c>
      <c r="E86" s="186"/>
    </row>
    <row r="87" spans="2:5" ht="21" x14ac:dyDescent="0.25">
      <c r="B87" s="180"/>
      <c r="C87" s="25" t="s">
        <v>353</v>
      </c>
      <c r="D87" s="25">
        <f>IF(CALCULATIONS!C309="",CALCULATIONS!C308,CALCULATIONS!C309)</f>
        <v>0.65400000000000003</v>
      </c>
      <c r="E87" s="27" t="s">
        <v>380</v>
      </c>
    </row>
    <row r="88" spans="2:5" ht="20.399999999999999" x14ac:dyDescent="0.25">
      <c r="B88" s="184" t="s">
        <v>392</v>
      </c>
      <c r="C88" s="22" t="s">
        <v>344</v>
      </c>
      <c r="D88" s="187" t="s">
        <v>382</v>
      </c>
      <c r="E88" s="188"/>
    </row>
    <row r="89" spans="2:5" ht="21" x14ac:dyDescent="0.25">
      <c r="B89" s="180"/>
      <c r="C89" s="25" t="s">
        <v>353</v>
      </c>
      <c r="D89" s="25">
        <f>IF(CALCULATIONS!C311="",CALCULATIONS!C310,CALCULATIONS!C311)</f>
        <v>110</v>
      </c>
      <c r="E89" s="27" t="s">
        <v>383</v>
      </c>
    </row>
    <row r="90" spans="2:5" ht="20.399999999999999" x14ac:dyDescent="0.25">
      <c r="B90" s="184" t="s">
        <v>393</v>
      </c>
      <c r="C90" s="22" t="s">
        <v>344</v>
      </c>
      <c r="D90" s="187" t="s">
        <v>394</v>
      </c>
      <c r="E90" s="188"/>
    </row>
    <row r="91" spans="2:5" ht="21" x14ac:dyDescent="0.25">
      <c r="B91" s="180"/>
      <c r="C91" s="25" t="s">
        <v>353</v>
      </c>
      <c r="D91" s="34">
        <f>Cvins_hu</f>
        <v>1</v>
      </c>
      <c r="E91" s="36" t="s">
        <v>354</v>
      </c>
    </row>
    <row r="92" spans="2:5" ht="20.399999999999999" x14ac:dyDescent="0.25">
      <c r="B92" s="179" t="s">
        <v>395</v>
      </c>
      <c r="C92" s="23" t="s">
        <v>344</v>
      </c>
      <c r="D92" s="185" t="s">
        <v>396</v>
      </c>
      <c r="E92" s="186"/>
    </row>
    <row r="93" spans="2:5" ht="21" x14ac:dyDescent="0.25">
      <c r="B93" s="179"/>
      <c r="C93" s="181" t="s">
        <v>397</v>
      </c>
      <c r="D93" s="23">
        <v>0.1</v>
      </c>
      <c r="E93" s="31" t="s">
        <v>354</v>
      </c>
    </row>
    <row r="94" spans="2:5" ht="21" x14ac:dyDescent="0.25">
      <c r="B94" s="180"/>
      <c r="C94" s="182"/>
      <c r="D94" s="25">
        <v>1</v>
      </c>
      <c r="E94" s="36" t="s">
        <v>354</v>
      </c>
    </row>
    <row r="95" spans="2:5" x14ac:dyDescent="0.25">
      <c r="D95" s="39"/>
    </row>
    <row r="96" spans="2:5" x14ac:dyDescent="0.25">
      <c r="E96"/>
    </row>
    <row r="97" spans="4:4" x14ac:dyDescent="0.25">
      <c r="D97" s="39"/>
    </row>
  </sheetData>
  <sheetProtection password="E59D" sheet="1" objects="1" scenarios="1"/>
  <mergeCells count="44">
    <mergeCell ref="B36:E36"/>
    <mergeCell ref="C37:E37"/>
    <mergeCell ref="D38:E38"/>
    <mergeCell ref="D44:E44"/>
    <mergeCell ref="D51:E51"/>
    <mergeCell ref="D55:E55"/>
    <mergeCell ref="D60:E60"/>
    <mergeCell ref="D63:E63"/>
    <mergeCell ref="D65:E65"/>
    <mergeCell ref="D67:E67"/>
    <mergeCell ref="D86:E86"/>
    <mergeCell ref="D88:E88"/>
    <mergeCell ref="D90:E90"/>
    <mergeCell ref="D72:E72"/>
    <mergeCell ref="D74:E74"/>
    <mergeCell ref="D76:E76"/>
    <mergeCell ref="D78:E78"/>
    <mergeCell ref="D80:E80"/>
    <mergeCell ref="B76:B77"/>
    <mergeCell ref="B78:B79"/>
    <mergeCell ref="B80:B81"/>
    <mergeCell ref="D82:E82"/>
    <mergeCell ref="D84:E84"/>
    <mergeCell ref="B63:B64"/>
    <mergeCell ref="B65:B66"/>
    <mergeCell ref="B67:B71"/>
    <mergeCell ref="B72:B73"/>
    <mergeCell ref="B74:B75"/>
    <mergeCell ref="B92:B94"/>
    <mergeCell ref="C93:C94"/>
    <mergeCell ref="A1:F2"/>
    <mergeCell ref="B82:B83"/>
    <mergeCell ref="B84:B85"/>
    <mergeCell ref="B86:B87"/>
    <mergeCell ref="B88:B89"/>
    <mergeCell ref="B90:B91"/>
    <mergeCell ref="D92:E92"/>
    <mergeCell ref="B38:B40"/>
    <mergeCell ref="B41:B43"/>
    <mergeCell ref="B44:B46"/>
    <mergeCell ref="B47:B50"/>
    <mergeCell ref="B51:B54"/>
    <mergeCell ref="B55:B59"/>
    <mergeCell ref="B60:B62"/>
  </mergeCells>
  <phoneticPr fontId="38"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Visio.Drawing.6" shapeId="8194" r:id="rId4">
          <objectPr defaultSize="0" altText="" r:id="rId5">
            <anchor moveWithCells="1">
              <from>
                <xdr:col>1</xdr:col>
                <xdr:colOff>0</xdr:colOff>
                <xdr:row>2</xdr:row>
                <xdr:rowOff>30480</xdr:rowOff>
              </from>
              <to>
                <xdr:col>5</xdr:col>
                <xdr:colOff>152400</xdr:colOff>
                <xdr:row>34</xdr:row>
                <xdr:rowOff>83820</xdr:rowOff>
              </to>
            </anchor>
          </objectPr>
        </oleObject>
      </mc:Choice>
      <mc:Fallback>
        <oleObject progId="Visio.Drawing.6" shapeId="8194"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Y382"/>
  <sheetViews>
    <sheetView topLeftCell="A37" workbookViewId="0">
      <selection activeCell="G107" sqref="G107"/>
    </sheetView>
  </sheetViews>
  <sheetFormatPr defaultColWidth="9.109375" defaultRowHeight="13.2" x14ac:dyDescent="0.25"/>
  <cols>
    <col min="1" max="3" width="9.109375" style="1"/>
    <col min="4" max="4" width="29.44140625" style="1" customWidth="1"/>
    <col min="5" max="6" width="9.109375" style="1"/>
    <col min="7" max="7" width="12.44140625" style="1" customWidth="1"/>
    <col min="8" max="8" width="12.6640625" style="1" customWidth="1"/>
    <col min="9" max="9" width="13.44140625" style="1" customWidth="1"/>
    <col min="10" max="10" width="20.44140625" style="1" customWidth="1"/>
    <col min="11" max="11" width="43.109375" style="1" customWidth="1"/>
    <col min="12" max="12" width="14.44140625" style="1" customWidth="1"/>
    <col min="13" max="13" width="24.88671875" style="1" customWidth="1"/>
    <col min="14" max="14" width="9.109375" style="1"/>
    <col min="15" max="15" width="16" style="1" customWidth="1"/>
    <col min="16" max="16" width="33.6640625" style="1" customWidth="1"/>
    <col min="17" max="17" width="9.109375" style="1"/>
    <col min="18" max="18" width="23.109375" style="1" customWidth="1"/>
    <col min="19" max="19" width="20.6640625" style="1" customWidth="1"/>
    <col min="20" max="20" width="19.88671875" style="1" customWidth="1"/>
    <col min="21" max="16384" width="9.109375" style="1"/>
  </cols>
  <sheetData>
    <row r="2" spans="2:9" ht="15.6" x14ac:dyDescent="0.25">
      <c r="B2" s="2" t="s">
        <v>398</v>
      </c>
      <c r="C2" s="2">
        <f>65*kHz</f>
        <v>65000</v>
      </c>
      <c r="G2" s="3" t="s">
        <v>399</v>
      </c>
      <c r="H2" s="3">
        <v>0.66</v>
      </c>
      <c r="I2" s="3" t="s">
        <v>26</v>
      </c>
    </row>
    <row r="3" spans="2:9" ht="15.6" x14ac:dyDescent="0.25">
      <c r="B3" s="4" t="s">
        <v>400</v>
      </c>
      <c r="C3" s="5">
        <f>10^-3</f>
        <v>1E-3</v>
      </c>
      <c r="G3" s="3" t="s">
        <v>401</v>
      </c>
      <c r="H3" s="3">
        <v>1.1499999999999999</v>
      </c>
      <c r="I3" s="3" t="s">
        <v>26</v>
      </c>
    </row>
    <row r="4" spans="2:9" ht="13.8" x14ac:dyDescent="0.25">
      <c r="B4" s="4" t="s">
        <v>402</v>
      </c>
      <c r="C4" s="5">
        <f>(10^-6)</f>
        <v>9.9999999999999995E-7</v>
      </c>
      <c r="G4" s="3" t="s">
        <v>403</v>
      </c>
      <c r="H4" s="3">
        <v>5</v>
      </c>
      <c r="I4" s="3" t="s">
        <v>26</v>
      </c>
    </row>
    <row r="5" spans="2:9" ht="13.8" x14ac:dyDescent="0.25">
      <c r="B5" s="4" t="s">
        <v>404</v>
      </c>
      <c r="C5" s="5">
        <f>10^3</f>
        <v>1000</v>
      </c>
      <c r="G5" s="3" t="s">
        <v>405</v>
      </c>
      <c r="H5" s="3">
        <v>5.25</v>
      </c>
      <c r="I5" s="3" t="s">
        <v>26</v>
      </c>
    </row>
    <row r="6" spans="2:9" ht="13.8" x14ac:dyDescent="0.25">
      <c r="B6" s="4" t="s">
        <v>406</v>
      </c>
      <c r="C6" s="5">
        <f>10^-3</f>
        <v>1E-3</v>
      </c>
      <c r="G6" s="3" t="s">
        <v>407</v>
      </c>
      <c r="H6" s="3">
        <v>5.38</v>
      </c>
      <c r="I6" s="3" t="s">
        <v>26</v>
      </c>
    </row>
    <row r="7" spans="2:9" ht="13.8" x14ac:dyDescent="0.25">
      <c r="B7" s="4" t="s">
        <v>408</v>
      </c>
      <c r="C7" s="5">
        <f>10^-3</f>
        <v>1E-3</v>
      </c>
      <c r="G7" s="3" t="s">
        <v>409</v>
      </c>
      <c r="H7" s="3">
        <v>5.12</v>
      </c>
      <c r="I7" s="3" t="s">
        <v>26</v>
      </c>
    </row>
    <row r="8" spans="2:9" ht="13.8" x14ac:dyDescent="0.25">
      <c r="B8" s="4" t="s">
        <v>410</v>
      </c>
      <c r="C8" s="5">
        <f>10^-3</f>
        <v>1E-3</v>
      </c>
      <c r="G8" s="3" t="s">
        <v>411</v>
      </c>
      <c r="H8" s="3">
        <v>4.75</v>
      </c>
      <c r="I8" s="3" t="s">
        <v>26</v>
      </c>
    </row>
    <row r="9" spans="2:9" ht="13.8" x14ac:dyDescent="0.25">
      <c r="B9" s="4" t="s">
        <v>412</v>
      </c>
      <c r="C9" s="5">
        <f>10^-6</f>
        <v>9.9999999999999995E-7</v>
      </c>
      <c r="G9" s="3" t="s">
        <v>413</v>
      </c>
      <c r="H9" s="3">
        <v>4.87</v>
      </c>
      <c r="I9" s="3" t="s">
        <v>26</v>
      </c>
    </row>
    <row r="10" spans="2:9" ht="13.8" x14ac:dyDescent="0.25">
      <c r="B10" s="4" t="s">
        <v>414</v>
      </c>
      <c r="C10" s="5">
        <f>10^-6</f>
        <v>9.9999999999999995E-7</v>
      </c>
      <c r="G10" s="3" t="s">
        <v>415</v>
      </c>
      <c r="H10" s="3">
        <v>4.63</v>
      </c>
      <c r="I10" s="3" t="s">
        <v>26</v>
      </c>
    </row>
    <row r="11" spans="2:9" ht="15.6" x14ac:dyDescent="0.25">
      <c r="B11" s="4" t="s">
        <v>416</v>
      </c>
      <c r="C11" s="5">
        <f>10^-9</f>
        <v>1.0000000000000001E-9</v>
      </c>
      <c r="G11" s="3" t="s">
        <v>417</v>
      </c>
      <c r="H11" s="3">
        <v>0.01</v>
      </c>
      <c r="I11" s="3" t="s">
        <v>189</v>
      </c>
    </row>
    <row r="12" spans="2:9" ht="15.6" x14ac:dyDescent="0.25">
      <c r="B12" s="4" t="s">
        <v>418</v>
      </c>
      <c r="C12" s="5">
        <f>10^-3</f>
        <v>1E-3</v>
      </c>
      <c r="G12" s="3" t="s">
        <v>419</v>
      </c>
      <c r="H12" s="3">
        <v>1.6</v>
      </c>
      <c r="I12" s="3" t="s">
        <v>26</v>
      </c>
    </row>
    <row r="13" spans="2:9" ht="15.6" x14ac:dyDescent="0.25">
      <c r="B13" s="4" t="s">
        <v>420</v>
      </c>
      <c r="C13" s="5">
        <f>10^-12</f>
        <v>9.9999999999999998E-13</v>
      </c>
      <c r="G13" s="3" t="s">
        <v>421</v>
      </c>
      <c r="H13" s="3">
        <v>1.4</v>
      </c>
      <c r="I13" s="3" t="s">
        <v>26</v>
      </c>
    </row>
    <row r="14" spans="2:9" ht="15.6" x14ac:dyDescent="0.25">
      <c r="B14" s="4" t="s">
        <v>422</v>
      </c>
      <c r="C14" s="5">
        <f>10^6</f>
        <v>1000000</v>
      </c>
      <c r="G14" s="3" t="s">
        <v>423</v>
      </c>
      <c r="H14" s="3">
        <v>1.5</v>
      </c>
      <c r="I14" s="3" t="s">
        <v>26</v>
      </c>
    </row>
    <row r="15" spans="2:9" ht="15.6" x14ac:dyDescent="0.25">
      <c r="B15" s="4" t="s">
        <v>424</v>
      </c>
      <c r="C15" s="5">
        <f>10^-6</f>
        <v>9.9999999999999995E-7</v>
      </c>
      <c r="G15" s="3" t="s">
        <v>425</v>
      </c>
      <c r="H15" s="3">
        <v>0.76</v>
      </c>
      <c r="I15" s="3" t="s">
        <v>26</v>
      </c>
    </row>
    <row r="16" spans="2:9" ht="15.6" x14ac:dyDescent="0.3">
      <c r="B16" s="4" t="s">
        <v>426</v>
      </c>
      <c r="C16" s="5">
        <f>10^3</f>
        <v>1000</v>
      </c>
      <c r="G16" s="3" t="s">
        <v>427</v>
      </c>
      <c r="H16" s="3">
        <v>0.88</v>
      </c>
      <c r="I16" s="3" t="s">
        <v>26</v>
      </c>
    </row>
    <row r="17" spans="1:12" ht="15.6" x14ac:dyDescent="0.25">
      <c r="B17" s="4" t="s">
        <v>428</v>
      </c>
      <c r="C17" s="5">
        <f>10^-9</f>
        <v>1.0000000000000001E-9</v>
      </c>
      <c r="G17" s="3" t="s">
        <v>429</v>
      </c>
      <c r="H17" s="3">
        <v>0.82</v>
      </c>
      <c r="I17" s="3" t="s">
        <v>26</v>
      </c>
    </row>
    <row r="18" spans="1:12" ht="15.6" x14ac:dyDescent="0.25">
      <c r="B18" s="4" t="s">
        <v>430</v>
      </c>
      <c r="C18" s="5">
        <f>10^-9</f>
        <v>1.0000000000000001E-9</v>
      </c>
      <c r="G18" s="3" t="s">
        <v>431</v>
      </c>
      <c r="H18" s="3">
        <v>2.1999999999999999E-2</v>
      </c>
      <c r="I18" s="3" t="s">
        <v>36</v>
      </c>
    </row>
    <row r="19" spans="1:12" ht="15.6" x14ac:dyDescent="0.25">
      <c r="B19" s="4" t="s">
        <v>432</v>
      </c>
      <c r="C19" s="5">
        <f>10^-6</f>
        <v>9.9999999999999995E-7</v>
      </c>
      <c r="G19" s="3" t="s">
        <v>433</v>
      </c>
      <c r="H19" s="3">
        <v>15</v>
      </c>
      <c r="I19" s="3" t="s">
        <v>434</v>
      </c>
    </row>
    <row r="20" spans="1:12" ht="13.8" x14ac:dyDescent="0.25">
      <c r="B20" s="2" t="s">
        <v>435</v>
      </c>
      <c r="C20" s="5">
        <f>10^6</f>
        <v>1000000</v>
      </c>
    </row>
    <row r="21" spans="1:12" ht="13.8" x14ac:dyDescent="0.25">
      <c r="B21" s="2" t="s">
        <v>436</v>
      </c>
      <c r="C21" s="5">
        <f>10^-3</f>
        <v>1E-3</v>
      </c>
    </row>
    <row r="22" spans="1:12" ht="13.8" x14ac:dyDescent="0.25">
      <c r="B22" s="2" t="s">
        <v>437</v>
      </c>
      <c r="C22" s="5">
        <f>(10^-6)</f>
        <v>9.9999999999999995E-7</v>
      </c>
    </row>
    <row r="23" spans="1:12" ht="13.8" x14ac:dyDescent="0.25">
      <c r="A23" s="6"/>
      <c r="B23" s="2" t="s">
        <v>438</v>
      </c>
      <c r="C23" s="5">
        <f>10^-3</f>
        <v>1E-3</v>
      </c>
      <c r="D23" s="6"/>
      <c r="E23" s="6"/>
    </row>
    <row r="24" spans="1:12" ht="13.8" x14ac:dyDescent="0.25">
      <c r="B24" s="6"/>
      <c r="C24" s="6"/>
      <c r="D24" s="6"/>
      <c r="E24" s="6"/>
    </row>
    <row r="25" spans="1:12" ht="13.8" x14ac:dyDescent="0.25">
      <c r="B25" s="6"/>
      <c r="E25" s="6"/>
    </row>
    <row r="26" spans="1:12" ht="13.8" x14ac:dyDescent="0.25">
      <c r="B26" s="6"/>
      <c r="E26" s="6"/>
    </row>
    <row r="27" spans="1:12" ht="13.8" x14ac:dyDescent="0.25">
      <c r="B27" s="6"/>
      <c r="E27" s="6"/>
    </row>
    <row r="28" spans="1:12" ht="13.8" x14ac:dyDescent="0.25">
      <c r="B28" s="6"/>
      <c r="E28" s="6"/>
    </row>
    <row r="29" spans="1:12" ht="13.8" x14ac:dyDescent="0.25">
      <c r="B29" s="6"/>
      <c r="E29" s="6"/>
    </row>
    <row r="30" spans="1:12" ht="13.8" x14ac:dyDescent="0.25">
      <c r="A30" s="196" t="s">
        <v>439</v>
      </c>
      <c r="B30" s="196"/>
      <c r="C30" s="196"/>
      <c r="D30" s="196"/>
      <c r="E30" s="6"/>
    </row>
    <row r="31" spans="1:12" ht="13.8" x14ac:dyDescent="0.25">
      <c r="E31" s="6"/>
    </row>
    <row r="32" spans="1:12" ht="13.8" x14ac:dyDescent="0.25">
      <c r="A32" s="7" t="s">
        <v>253</v>
      </c>
      <c r="B32" s="7" t="s">
        <v>440</v>
      </c>
      <c r="C32" s="7" t="s">
        <v>441</v>
      </c>
      <c r="D32" s="7" t="s">
        <v>250</v>
      </c>
      <c r="F32" s="6"/>
      <c r="I32" s="6"/>
      <c r="L32" s="6"/>
    </row>
    <row r="33" spans="1:12" ht="13.8" x14ac:dyDescent="0.25">
      <c r="A33" s="7">
        <v>0</v>
      </c>
      <c r="B33" s="8">
        <f>IF(A33&lt;2,(0.064),IF(A33&lt;3,(0.139*A33-0.214),IF(A33&lt;5.5,(0.279*A33-0.632),IF(A33&lt;7,0.903,"VCOMP MUST BE &lt; 7"))))</f>
        <v>6.4000000000000001E-2</v>
      </c>
      <c r="C33" s="8">
        <f>IF(A33&lt;=1.5,0,IF(A33&lt;5.6,(0.1223*(A33-1.5)^2),IF(A33&lt;7,2.056,"VCOMP MUST BE &lt; 7")))</f>
        <v>0</v>
      </c>
      <c r="D33" s="9">
        <f>B33*C33</f>
        <v>0</v>
      </c>
      <c r="F33" s="6"/>
      <c r="I33" s="6"/>
      <c r="L33" s="6"/>
    </row>
    <row r="34" spans="1:12" ht="13.8" x14ac:dyDescent="0.25">
      <c r="A34" s="7">
        <f>A33+0.05</f>
        <v>0.05</v>
      </c>
      <c r="B34" s="8">
        <f t="shared" ref="B34:B97" si="0">IF(A34&lt;2,(0.064),IF(A34&lt;3,(0.139*A34-0.214),IF(A34&lt;5.5,(0.279*A34-0.632),IF(A34&lt;7,0.903,"VCOMP MUST BE &lt; 7"))))</f>
        <v>6.4000000000000001E-2</v>
      </c>
      <c r="C34" s="8">
        <f t="shared" ref="C34:C39" si="1">IF(A34&lt;=1.5,0,IF(A34&lt;5.6,(0.1223*(A34-1.5)^2),IF(A34&lt;7,2.056,"VCOMP MUST BE &lt; 7")))</f>
        <v>0</v>
      </c>
      <c r="D34" s="9">
        <f t="shared" ref="D34:D97" si="2">B34*C34</f>
        <v>0</v>
      </c>
      <c r="F34" s="6"/>
      <c r="I34" s="6"/>
      <c r="L34" s="6"/>
    </row>
    <row r="35" spans="1:12" ht="13.8" x14ac:dyDescent="0.25">
      <c r="A35" s="7">
        <f>A34+0.05</f>
        <v>0.1</v>
      </c>
      <c r="B35" s="8">
        <f t="shared" si="0"/>
        <v>6.4000000000000001E-2</v>
      </c>
      <c r="C35" s="8">
        <f t="shared" si="1"/>
        <v>0</v>
      </c>
      <c r="D35" s="9">
        <f t="shared" si="2"/>
        <v>0</v>
      </c>
      <c r="F35" s="6"/>
      <c r="I35" s="6"/>
      <c r="L35" s="6"/>
    </row>
    <row r="36" spans="1:12" ht="13.8" x14ac:dyDescent="0.25">
      <c r="A36" s="7">
        <f>A35+0.05</f>
        <v>0.15</v>
      </c>
      <c r="B36" s="8">
        <f t="shared" si="0"/>
        <v>6.4000000000000001E-2</v>
      </c>
      <c r="C36" s="8">
        <f t="shared" si="1"/>
        <v>0</v>
      </c>
      <c r="D36" s="9">
        <f t="shared" si="2"/>
        <v>0</v>
      </c>
      <c r="F36" s="6"/>
      <c r="I36" s="6"/>
      <c r="L36" s="6"/>
    </row>
    <row r="37" spans="1:12" ht="13.8" x14ac:dyDescent="0.25">
      <c r="A37" s="7">
        <f t="shared" ref="A37:A68" si="3">A36+0.05</f>
        <v>0.2</v>
      </c>
      <c r="B37" s="8">
        <f t="shared" si="0"/>
        <v>6.4000000000000001E-2</v>
      </c>
      <c r="C37" s="8">
        <f t="shared" si="1"/>
        <v>0</v>
      </c>
      <c r="D37" s="9">
        <f t="shared" si="2"/>
        <v>0</v>
      </c>
      <c r="F37" s="6"/>
      <c r="I37" s="6"/>
      <c r="L37" s="6"/>
    </row>
    <row r="38" spans="1:12" ht="13.8" x14ac:dyDescent="0.25">
      <c r="A38" s="7">
        <f t="shared" si="3"/>
        <v>0.25</v>
      </c>
      <c r="B38" s="8">
        <f t="shared" si="0"/>
        <v>6.4000000000000001E-2</v>
      </c>
      <c r="C38" s="8">
        <f t="shared" si="1"/>
        <v>0</v>
      </c>
      <c r="D38" s="9">
        <f t="shared" si="2"/>
        <v>0</v>
      </c>
      <c r="F38" s="6"/>
      <c r="I38" s="6"/>
      <c r="L38" s="6"/>
    </row>
    <row r="39" spans="1:12" ht="13.8" x14ac:dyDescent="0.25">
      <c r="A39" s="7">
        <f t="shared" si="3"/>
        <v>0.3</v>
      </c>
      <c r="B39" s="8">
        <f t="shared" si="0"/>
        <v>6.4000000000000001E-2</v>
      </c>
      <c r="C39" s="8">
        <f t="shared" si="1"/>
        <v>0</v>
      </c>
      <c r="D39" s="9">
        <f t="shared" si="2"/>
        <v>0</v>
      </c>
      <c r="F39" s="6"/>
      <c r="I39" s="6"/>
      <c r="L39" s="6"/>
    </row>
    <row r="40" spans="1:12" ht="13.8" x14ac:dyDescent="0.25">
      <c r="A40" s="7">
        <f t="shared" si="3"/>
        <v>0.35</v>
      </c>
      <c r="B40" s="8">
        <f t="shared" si="0"/>
        <v>6.4000000000000001E-2</v>
      </c>
      <c r="C40" s="8">
        <f t="shared" ref="C40:C55" si="4">IF(A40&lt;=1.5,0,IF(A40&lt;5.6,(0.1223*(A40-1.5)^2),IF(A40&lt;7,2.056,"VCOMP MUST BE &lt; 7")))</f>
        <v>0</v>
      </c>
      <c r="D40" s="9">
        <f t="shared" si="2"/>
        <v>0</v>
      </c>
      <c r="F40" s="6"/>
      <c r="I40" s="6"/>
      <c r="L40" s="6"/>
    </row>
    <row r="41" spans="1:12" ht="13.8" x14ac:dyDescent="0.25">
      <c r="A41" s="7">
        <f t="shared" si="3"/>
        <v>0.4</v>
      </c>
      <c r="B41" s="8">
        <f t="shared" si="0"/>
        <v>6.4000000000000001E-2</v>
      </c>
      <c r="C41" s="8">
        <f t="shared" si="4"/>
        <v>0</v>
      </c>
      <c r="D41" s="9">
        <f t="shared" si="2"/>
        <v>0</v>
      </c>
      <c r="F41" s="6"/>
      <c r="I41" s="6"/>
      <c r="L41" s="6"/>
    </row>
    <row r="42" spans="1:12" ht="13.8" x14ac:dyDescent="0.25">
      <c r="A42" s="7">
        <f t="shared" si="3"/>
        <v>0.45</v>
      </c>
      <c r="B42" s="8">
        <f t="shared" si="0"/>
        <v>6.4000000000000001E-2</v>
      </c>
      <c r="C42" s="8">
        <f t="shared" si="4"/>
        <v>0</v>
      </c>
      <c r="D42" s="9">
        <f t="shared" si="2"/>
        <v>0</v>
      </c>
      <c r="F42" s="6"/>
      <c r="I42" s="6"/>
      <c r="L42" s="6"/>
    </row>
    <row r="43" spans="1:12" ht="13.8" x14ac:dyDescent="0.25">
      <c r="A43" s="7">
        <f t="shared" si="3"/>
        <v>0.5</v>
      </c>
      <c r="B43" s="8">
        <f t="shared" si="0"/>
        <v>6.4000000000000001E-2</v>
      </c>
      <c r="C43" s="8">
        <f t="shared" si="4"/>
        <v>0</v>
      </c>
      <c r="D43" s="9">
        <f t="shared" si="2"/>
        <v>0</v>
      </c>
      <c r="F43" s="6"/>
      <c r="I43" s="6"/>
      <c r="L43" s="6"/>
    </row>
    <row r="44" spans="1:12" ht="13.8" x14ac:dyDescent="0.25">
      <c r="A44" s="7">
        <f t="shared" si="3"/>
        <v>0.55000000000000004</v>
      </c>
      <c r="B44" s="8">
        <f t="shared" si="0"/>
        <v>6.4000000000000001E-2</v>
      </c>
      <c r="C44" s="8">
        <f t="shared" si="4"/>
        <v>0</v>
      </c>
      <c r="D44" s="9">
        <f t="shared" si="2"/>
        <v>0</v>
      </c>
      <c r="F44" s="6"/>
      <c r="I44" s="6"/>
      <c r="L44" s="6"/>
    </row>
    <row r="45" spans="1:12" ht="13.8" x14ac:dyDescent="0.25">
      <c r="A45" s="7">
        <f t="shared" si="3"/>
        <v>0.6</v>
      </c>
      <c r="B45" s="8">
        <f t="shared" si="0"/>
        <v>6.4000000000000001E-2</v>
      </c>
      <c r="C45" s="8">
        <f t="shared" si="4"/>
        <v>0</v>
      </c>
      <c r="D45" s="9">
        <f t="shared" si="2"/>
        <v>0</v>
      </c>
      <c r="F45" s="6"/>
      <c r="I45" s="6"/>
      <c r="L45" s="6"/>
    </row>
    <row r="46" spans="1:12" ht="13.8" x14ac:dyDescent="0.25">
      <c r="A46" s="7">
        <f t="shared" si="3"/>
        <v>0.65</v>
      </c>
      <c r="B46" s="8">
        <f t="shared" si="0"/>
        <v>6.4000000000000001E-2</v>
      </c>
      <c r="C46" s="8">
        <f t="shared" si="4"/>
        <v>0</v>
      </c>
      <c r="D46" s="9">
        <f t="shared" si="2"/>
        <v>0</v>
      </c>
      <c r="F46" s="6"/>
      <c r="I46" s="6"/>
      <c r="L46" s="6"/>
    </row>
    <row r="47" spans="1:12" ht="13.8" x14ac:dyDescent="0.25">
      <c r="A47" s="7">
        <f t="shared" si="3"/>
        <v>0.7</v>
      </c>
      <c r="B47" s="8">
        <f t="shared" si="0"/>
        <v>6.4000000000000001E-2</v>
      </c>
      <c r="C47" s="8">
        <f t="shared" si="4"/>
        <v>0</v>
      </c>
      <c r="D47" s="9">
        <f t="shared" si="2"/>
        <v>0</v>
      </c>
      <c r="F47" s="6"/>
      <c r="I47" s="6"/>
      <c r="L47" s="6"/>
    </row>
    <row r="48" spans="1:12" ht="13.8" x14ac:dyDescent="0.25">
      <c r="A48" s="7">
        <f t="shared" si="3"/>
        <v>0.75</v>
      </c>
      <c r="B48" s="8">
        <f t="shared" si="0"/>
        <v>6.4000000000000001E-2</v>
      </c>
      <c r="C48" s="8">
        <f t="shared" si="4"/>
        <v>0</v>
      </c>
      <c r="D48" s="9">
        <f t="shared" si="2"/>
        <v>0</v>
      </c>
      <c r="F48" s="6"/>
      <c r="I48" s="6"/>
      <c r="L48" s="6"/>
    </row>
    <row r="49" spans="1:12" ht="13.8" x14ac:dyDescent="0.25">
      <c r="A49" s="7">
        <f t="shared" si="3"/>
        <v>0.8</v>
      </c>
      <c r="B49" s="8">
        <f t="shared" si="0"/>
        <v>6.4000000000000001E-2</v>
      </c>
      <c r="C49" s="8">
        <f t="shared" si="4"/>
        <v>0</v>
      </c>
      <c r="D49" s="9">
        <f t="shared" si="2"/>
        <v>0</v>
      </c>
      <c r="F49" s="6"/>
      <c r="I49" s="6"/>
      <c r="L49" s="6"/>
    </row>
    <row r="50" spans="1:12" ht="13.8" x14ac:dyDescent="0.25">
      <c r="A50" s="7">
        <f t="shared" si="3"/>
        <v>0.85</v>
      </c>
      <c r="B50" s="8">
        <f t="shared" si="0"/>
        <v>6.4000000000000001E-2</v>
      </c>
      <c r="C50" s="8">
        <f t="shared" si="4"/>
        <v>0</v>
      </c>
      <c r="D50" s="9">
        <f t="shared" si="2"/>
        <v>0</v>
      </c>
      <c r="F50" s="6"/>
      <c r="I50" s="6"/>
      <c r="L50" s="6"/>
    </row>
    <row r="51" spans="1:12" ht="13.8" x14ac:dyDescent="0.25">
      <c r="A51" s="7">
        <f t="shared" si="3"/>
        <v>0.9</v>
      </c>
      <c r="B51" s="8">
        <f t="shared" si="0"/>
        <v>6.4000000000000001E-2</v>
      </c>
      <c r="C51" s="8">
        <f t="shared" si="4"/>
        <v>0</v>
      </c>
      <c r="D51" s="9">
        <f t="shared" si="2"/>
        <v>0</v>
      </c>
      <c r="F51" s="6"/>
      <c r="I51" s="6"/>
      <c r="L51" s="6"/>
    </row>
    <row r="52" spans="1:12" ht="13.8" x14ac:dyDescent="0.25">
      <c r="A52" s="7">
        <f t="shared" si="3"/>
        <v>0.95</v>
      </c>
      <c r="B52" s="8">
        <f t="shared" si="0"/>
        <v>6.4000000000000001E-2</v>
      </c>
      <c r="C52" s="8">
        <f t="shared" si="4"/>
        <v>0</v>
      </c>
      <c r="D52" s="9">
        <f t="shared" si="2"/>
        <v>0</v>
      </c>
      <c r="F52" s="6"/>
      <c r="I52" s="6"/>
      <c r="L52" s="6"/>
    </row>
    <row r="53" spans="1:12" ht="13.8" x14ac:dyDescent="0.25">
      <c r="A53" s="7">
        <f t="shared" si="3"/>
        <v>1</v>
      </c>
      <c r="B53" s="8">
        <f t="shared" si="0"/>
        <v>6.4000000000000001E-2</v>
      </c>
      <c r="C53" s="8">
        <f t="shared" si="4"/>
        <v>0</v>
      </c>
      <c r="D53" s="9">
        <f t="shared" si="2"/>
        <v>0</v>
      </c>
      <c r="F53" s="6"/>
      <c r="I53" s="6"/>
      <c r="L53" s="6"/>
    </row>
    <row r="54" spans="1:12" ht="13.8" x14ac:dyDescent="0.25">
      <c r="A54" s="7">
        <f t="shared" si="3"/>
        <v>1.05</v>
      </c>
      <c r="B54" s="8">
        <f t="shared" si="0"/>
        <v>6.4000000000000001E-2</v>
      </c>
      <c r="C54" s="8">
        <f t="shared" si="4"/>
        <v>0</v>
      </c>
      <c r="D54" s="9">
        <f t="shared" si="2"/>
        <v>0</v>
      </c>
      <c r="F54" s="6"/>
      <c r="I54" s="6"/>
      <c r="L54" s="6"/>
    </row>
    <row r="55" spans="1:12" ht="13.8" x14ac:dyDescent="0.25">
      <c r="A55" s="7">
        <f t="shared" si="3"/>
        <v>1.1000000000000001</v>
      </c>
      <c r="B55" s="8">
        <f t="shared" si="0"/>
        <v>6.4000000000000001E-2</v>
      </c>
      <c r="C55" s="8">
        <f t="shared" si="4"/>
        <v>0</v>
      </c>
      <c r="D55" s="9">
        <f t="shared" si="2"/>
        <v>0</v>
      </c>
      <c r="F55" s="6"/>
      <c r="I55" s="6"/>
      <c r="L55" s="6"/>
    </row>
    <row r="56" spans="1:12" ht="13.8" x14ac:dyDescent="0.25">
      <c r="A56" s="7">
        <f t="shared" si="3"/>
        <v>1.1499999999999999</v>
      </c>
      <c r="B56" s="8">
        <f t="shared" si="0"/>
        <v>6.4000000000000001E-2</v>
      </c>
      <c r="C56" s="8">
        <f t="shared" ref="C56:C68" si="5">IF(A56&lt;=1.5,0,IF(A56&lt;5.6,(0.1223*(A56-1.5)^2),IF(A56&lt;7,2.056,"VCOMP MUST BE &lt; 7")))</f>
        <v>0</v>
      </c>
      <c r="D56" s="9">
        <f t="shared" si="2"/>
        <v>0</v>
      </c>
      <c r="F56" s="6"/>
      <c r="I56" s="6"/>
      <c r="L56" s="6"/>
    </row>
    <row r="57" spans="1:12" ht="13.8" x14ac:dyDescent="0.25">
      <c r="A57" s="7">
        <f t="shared" si="3"/>
        <v>1.2</v>
      </c>
      <c r="B57" s="8">
        <f t="shared" si="0"/>
        <v>6.4000000000000001E-2</v>
      </c>
      <c r="C57" s="8">
        <f t="shared" si="5"/>
        <v>0</v>
      </c>
      <c r="D57" s="9">
        <f t="shared" si="2"/>
        <v>0</v>
      </c>
      <c r="F57" s="6"/>
      <c r="I57" s="6"/>
      <c r="L57" s="6"/>
    </row>
    <row r="58" spans="1:12" ht="13.8" x14ac:dyDescent="0.25">
      <c r="A58" s="7">
        <f t="shared" si="3"/>
        <v>1.25</v>
      </c>
      <c r="B58" s="8">
        <f t="shared" si="0"/>
        <v>6.4000000000000001E-2</v>
      </c>
      <c r="C58" s="8">
        <f t="shared" si="5"/>
        <v>0</v>
      </c>
      <c r="D58" s="9">
        <f t="shared" si="2"/>
        <v>0</v>
      </c>
      <c r="F58" s="6"/>
      <c r="I58" s="6"/>
      <c r="L58" s="6"/>
    </row>
    <row r="59" spans="1:12" ht="13.8" x14ac:dyDescent="0.25">
      <c r="A59" s="7">
        <f t="shared" si="3"/>
        <v>1.3</v>
      </c>
      <c r="B59" s="8">
        <f t="shared" si="0"/>
        <v>6.4000000000000001E-2</v>
      </c>
      <c r="C59" s="8">
        <f t="shared" si="5"/>
        <v>0</v>
      </c>
      <c r="D59" s="9">
        <f t="shared" si="2"/>
        <v>0</v>
      </c>
      <c r="F59" s="6"/>
      <c r="I59" s="6"/>
      <c r="L59" s="6"/>
    </row>
    <row r="60" spans="1:12" ht="13.8" x14ac:dyDescent="0.25">
      <c r="A60" s="7">
        <f t="shared" si="3"/>
        <v>1.35</v>
      </c>
      <c r="B60" s="8">
        <f t="shared" si="0"/>
        <v>6.4000000000000001E-2</v>
      </c>
      <c r="C60" s="8">
        <f t="shared" si="5"/>
        <v>0</v>
      </c>
      <c r="D60" s="9">
        <f t="shared" si="2"/>
        <v>0</v>
      </c>
      <c r="F60" s="6"/>
      <c r="I60" s="6"/>
      <c r="L60" s="6"/>
    </row>
    <row r="61" spans="1:12" ht="13.8" x14ac:dyDescent="0.25">
      <c r="A61" s="7">
        <f t="shared" si="3"/>
        <v>1.4</v>
      </c>
      <c r="B61" s="8">
        <f t="shared" si="0"/>
        <v>6.4000000000000001E-2</v>
      </c>
      <c r="C61" s="8">
        <f t="shared" si="5"/>
        <v>0</v>
      </c>
      <c r="D61" s="9">
        <f t="shared" si="2"/>
        <v>0</v>
      </c>
      <c r="F61" s="6"/>
      <c r="I61" s="6"/>
      <c r="L61" s="6"/>
    </row>
    <row r="62" spans="1:12" ht="13.8" x14ac:dyDescent="0.25">
      <c r="A62" s="7">
        <f t="shared" si="3"/>
        <v>1.45</v>
      </c>
      <c r="B62" s="8">
        <f t="shared" si="0"/>
        <v>6.4000000000000001E-2</v>
      </c>
      <c r="C62" s="8">
        <f t="shared" si="5"/>
        <v>0</v>
      </c>
      <c r="D62" s="9">
        <f t="shared" si="2"/>
        <v>0</v>
      </c>
      <c r="F62" s="6"/>
      <c r="I62" s="6"/>
      <c r="L62" s="6"/>
    </row>
    <row r="63" spans="1:12" ht="13.8" x14ac:dyDescent="0.25">
      <c r="A63" s="7">
        <f t="shared" si="3"/>
        <v>1.5</v>
      </c>
      <c r="B63" s="8">
        <f t="shared" si="0"/>
        <v>6.4000000000000001E-2</v>
      </c>
      <c r="C63" s="8">
        <f t="shared" si="5"/>
        <v>0</v>
      </c>
      <c r="D63" s="9">
        <f t="shared" si="2"/>
        <v>0</v>
      </c>
      <c r="F63" s="6"/>
      <c r="I63" s="6"/>
      <c r="J63" s="6"/>
      <c r="K63" s="6"/>
      <c r="L63" s="6"/>
    </row>
    <row r="64" spans="1:12" x14ac:dyDescent="0.25">
      <c r="A64" s="7">
        <f t="shared" si="3"/>
        <v>1.55</v>
      </c>
      <c r="B64" s="8">
        <f t="shared" si="0"/>
        <v>6.4000000000000001E-2</v>
      </c>
      <c r="C64" s="8">
        <f t="shared" si="5"/>
        <v>3.0575000000000898E-4</v>
      </c>
      <c r="D64" s="9">
        <f t="shared" si="2"/>
        <v>1.9568000000000599E-5</v>
      </c>
    </row>
    <row r="65" spans="1:12" x14ac:dyDescent="0.25">
      <c r="A65" s="7">
        <f t="shared" si="3"/>
        <v>1.6</v>
      </c>
      <c r="B65" s="8">
        <f t="shared" si="0"/>
        <v>6.4000000000000001E-2</v>
      </c>
      <c r="C65" s="8">
        <f t="shared" si="5"/>
        <v>1.2230000000000201E-3</v>
      </c>
      <c r="D65" s="9">
        <f t="shared" si="2"/>
        <v>7.8272000000001205E-5</v>
      </c>
    </row>
    <row r="66" spans="1:12" x14ac:dyDescent="0.25">
      <c r="A66" s="7">
        <f t="shared" si="3"/>
        <v>1.65</v>
      </c>
      <c r="B66" s="8">
        <f t="shared" si="0"/>
        <v>6.4000000000000001E-2</v>
      </c>
      <c r="C66" s="8">
        <f t="shared" si="5"/>
        <v>2.7517500000000302E-3</v>
      </c>
      <c r="D66" s="9">
        <f t="shared" si="2"/>
        <v>1.76112000000002E-4</v>
      </c>
    </row>
    <row r="67" spans="1:12" x14ac:dyDescent="0.25">
      <c r="A67" s="7">
        <f t="shared" si="3"/>
        <v>1.7</v>
      </c>
      <c r="B67" s="8">
        <f t="shared" si="0"/>
        <v>6.4000000000000001E-2</v>
      </c>
      <c r="C67" s="8">
        <f t="shared" si="5"/>
        <v>4.8920000000000404E-3</v>
      </c>
      <c r="D67" s="9">
        <f t="shared" si="2"/>
        <v>3.1308800000000298E-4</v>
      </c>
    </row>
    <row r="68" spans="1:12" ht="16.2" x14ac:dyDescent="0.25">
      <c r="A68" s="7">
        <f t="shared" si="3"/>
        <v>1.75</v>
      </c>
      <c r="B68" s="8">
        <f t="shared" si="0"/>
        <v>6.4000000000000001E-2</v>
      </c>
      <c r="C68" s="8">
        <f t="shared" si="5"/>
        <v>7.6437500000000602E-3</v>
      </c>
      <c r="D68" s="9">
        <f t="shared" si="2"/>
        <v>4.8920000000000398E-4</v>
      </c>
      <c r="G68" s="2" t="s">
        <v>442</v>
      </c>
      <c r="H68" s="2">
        <v>7</v>
      </c>
      <c r="J68"/>
      <c r="K68"/>
      <c r="L68"/>
    </row>
    <row r="69" spans="1:12" ht="16.2" x14ac:dyDescent="0.25">
      <c r="A69" s="7">
        <f t="shared" ref="A69:A85" si="6">A68+0.05</f>
        <v>1.8</v>
      </c>
      <c r="B69" s="8">
        <f t="shared" si="0"/>
        <v>6.4000000000000001E-2</v>
      </c>
      <c r="C69" s="8">
        <f t="shared" ref="C69:C85" si="7">IF(A69&lt;=1.5,0,IF(A69&lt;5.6,(0.1223*(A69-1.5)^2),IF(A69&lt;7,2.056,"VCOMP MUST BE &lt; 7")))</f>
        <v>1.10070000000001E-2</v>
      </c>
      <c r="D69" s="9">
        <f t="shared" si="2"/>
        <v>7.0444800000000498E-4</v>
      </c>
      <c r="G69" s="2" t="s">
        <v>443</v>
      </c>
      <c r="H69" s="2">
        <f>1/(fsw)</f>
        <v>1.5384615384615401E-5</v>
      </c>
      <c r="J69"/>
      <c r="K69"/>
      <c r="L69"/>
    </row>
    <row r="70" spans="1:12" ht="16.2" x14ac:dyDescent="0.25">
      <c r="A70" s="7">
        <f t="shared" si="6"/>
        <v>1.85</v>
      </c>
      <c r="B70" s="8">
        <f t="shared" si="0"/>
        <v>6.4000000000000001E-2</v>
      </c>
      <c r="C70" s="8">
        <f t="shared" si="7"/>
        <v>1.4981750000000099E-2</v>
      </c>
      <c r="D70" s="9">
        <f t="shared" si="2"/>
        <v>9.5883200000000505E-4</v>
      </c>
      <c r="G70" s="2" t="s">
        <v>444</v>
      </c>
      <c r="H70" s="2">
        <f>fsw</f>
        <v>65000</v>
      </c>
      <c r="J70"/>
      <c r="K70"/>
      <c r="L70"/>
    </row>
    <row r="71" spans="1:12" ht="16.2" x14ac:dyDescent="0.25">
      <c r="A71" s="7">
        <f t="shared" si="6"/>
        <v>1.9</v>
      </c>
      <c r="B71" s="8">
        <f t="shared" si="0"/>
        <v>6.4000000000000001E-2</v>
      </c>
      <c r="C71" s="8">
        <f t="shared" si="7"/>
        <v>1.9568000000000099E-2</v>
      </c>
      <c r="D71" s="9">
        <f t="shared" si="2"/>
        <v>1.25235200000001E-3</v>
      </c>
      <c r="G71" s="2" t="s">
        <v>445</v>
      </c>
      <c r="H71" s="2">
        <f>42*uSiemens</f>
        <v>4.1999999999999998E-5</v>
      </c>
      <c r="J71"/>
      <c r="K71"/>
      <c r="L71"/>
    </row>
    <row r="72" spans="1:12" ht="15.6" x14ac:dyDescent="0.25">
      <c r="A72" s="7">
        <f t="shared" si="6"/>
        <v>1.95</v>
      </c>
      <c r="B72" s="8">
        <f t="shared" si="0"/>
        <v>6.4000000000000001E-2</v>
      </c>
      <c r="C72" s="8">
        <f t="shared" si="7"/>
        <v>2.47657500000001E-2</v>
      </c>
      <c r="D72" s="9">
        <f t="shared" si="2"/>
        <v>1.5850080000000099E-3</v>
      </c>
      <c r="G72" s="10" t="s">
        <v>446</v>
      </c>
      <c r="H72" s="2">
        <f>0.95*mSiemens</f>
        <v>9.5E-4</v>
      </c>
      <c r="J72"/>
      <c r="K72"/>
      <c r="L72"/>
    </row>
    <row r="73" spans="1:12" x14ac:dyDescent="0.25">
      <c r="A73" s="7">
        <f t="shared" si="6"/>
        <v>2</v>
      </c>
      <c r="B73" s="8">
        <f t="shared" si="0"/>
        <v>6.4000000000000098E-2</v>
      </c>
      <c r="C73" s="8">
        <f t="shared" si="7"/>
        <v>3.0575000000000099E-2</v>
      </c>
      <c r="D73" s="9">
        <f t="shared" si="2"/>
        <v>1.9568000000000098E-3</v>
      </c>
      <c r="J73"/>
      <c r="K73"/>
      <c r="L73"/>
    </row>
    <row r="74" spans="1:12" ht="13.8" x14ac:dyDescent="0.25">
      <c r="A74" s="7">
        <f t="shared" si="6"/>
        <v>2.0499999999999998</v>
      </c>
      <c r="B74" s="8">
        <f t="shared" si="0"/>
        <v>7.0950000000000193E-2</v>
      </c>
      <c r="C74" s="8">
        <f t="shared" si="7"/>
        <v>3.6995750000000098E-2</v>
      </c>
      <c r="D74" s="9">
        <f t="shared" si="2"/>
        <v>2.62484846250001E-3</v>
      </c>
      <c r="G74" s="2" t="s">
        <v>250</v>
      </c>
      <c r="H74" s="2">
        <f>M1M2_calc</f>
        <v>5.6566536315001095E-2</v>
      </c>
      <c r="J74"/>
      <c r="K74"/>
      <c r="L74"/>
    </row>
    <row r="75" spans="1:12" ht="13.8" x14ac:dyDescent="0.25">
      <c r="A75" s="7">
        <f t="shared" si="6"/>
        <v>2.1</v>
      </c>
      <c r="B75" s="8">
        <f t="shared" si="0"/>
        <v>7.7900000000000094E-2</v>
      </c>
      <c r="C75" s="8">
        <f t="shared" si="7"/>
        <v>4.4028000000000102E-2</v>
      </c>
      <c r="D75" s="9">
        <f t="shared" si="2"/>
        <v>3.4297812000000098E-3</v>
      </c>
      <c r="G75" s="199"/>
      <c r="H75" s="200"/>
      <c r="J75"/>
      <c r="K75"/>
      <c r="L75"/>
    </row>
    <row r="76" spans="1:12" ht="13.8" x14ac:dyDescent="0.25">
      <c r="A76" s="7">
        <f t="shared" si="6"/>
        <v>2.15</v>
      </c>
      <c r="B76" s="8">
        <f t="shared" si="0"/>
        <v>8.4850000000000106E-2</v>
      </c>
      <c r="C76" s="8">
        <f t="shared" si="7"/>
        <v>5.16717500000001E-2</v>
      </c>
      <c r="D76" s="9">
        <f t="shared" si="2"/>
        <v>4.38434798750001E-3</v>
      </c>
      <c r="G76" s="2" t="s">
        <v>447</v>
      </c>
      <c r="H76" s="2">
        <f>11.3030795592389*SQRT(M1M2_calc)+1.5</f>
        <v>4.1882928557935966</v>
      </c>
      <c r="J76"/>
      <c r="K76"/>
      <c r="L76"/>
    </row>
    <row r="77" spans="1:12" x14ac:dyDescent="0.25">
      <c r="A77" s="7">
        <f t="shared" si="6"/>
        <v>2.2000000000000002</v>
      </c>
      <c r="B77" s="8">
        <f t="shared" si="0"/>
        <v>9.1800000000000104E-2</v>
      </c>
      <c r="C77" s="8">
        <f t="shared" si="7"/>
        <v>5.9927000000000001E-2</v>
      </c>
      <c r="D77" s="9">
        <f t="shared" si="2"/>
        <v>5.5012986000000097E-3</v>
      </c>
      <c r="F77"/>
      <c r="G77"/>
      <c r="H77"/>
      <c r="I77"/>
      <c r="J77"/>
      <c r="K77"/>
      <c r="L77"/>
    </row>
    <row r="78" spans="1:12" ht="16.2" x14ac:dyDescent="0.25">
      <c r="A78" s="7">
        <f t="shared" si="6"/>
        <v>2.25</v>
      </c>
      <c r="B78" s="8">
        <f t="shared" si="0"/>
        <v>9.8750000000000004E-2</v>
      </c>
      <c r="C78" s="8">
        <f t="shared" si="7"/>
        <v>6.8793750000000001E-2</v>
      </c>
      <c r="D78" s="9">
        <f t="shared" si="2"/>
        <v>6.7933828125000002E-3</v>
      </c>
      <c r="G78" s="2" t="s">
        <v>448</v>
      </c>
      <c r="H78" s="2">
        <v>1.7396155018431199E-4</v>
      </c>
      <c r="J78" s="14" t="s">
        <v>449</v>
      </c>
      <c r="K78"/>
      <c r="L78"/>
    </row>
    <row r="79" spans="1:12" ht="16.2" x14ac:dyDescent="0.25">
      <c r="A79" s="7">
        <f t="shared" si="6"/>
        <v>2.2999999999999998</v>
      </c>
      <c r="B79" s="8">
        <f t="shared" si="0"/>
        <v>0.1057</v>
      </c>
      <c r="C79" s="8">
        <f t="shared" si="7"/>
        <v>7.8271999999999994E-2</v>
      </c>
      <c r="D79" s="9">
        <f t="shared" si="2"/>
        <v>8.2733504000000006E-3</v>
      </c>
      <c r="G79" s="2" t="s">
        <v>450</v>
      </c>
      <c r="H79" s="2">
        <v>29.4122837461837</v>
      </c>
      <c r="J79"/>
      <c r="K79"/>
      <c r="L79"/>
    </row>
    <row r="80" spans="1:12" ht="16.2" x14ac:dyDescent="0.25">
      <c r="A80" s="7">
        <f t="shared" si="6"/>
        <v>2.35</v>
      </c>
      <c r="B80" s="8">
        <f t="shared" si="0"/>
        <v>0.11265</v>
      </c>
      <c r="C80" s="8">
        <f t="shared" si="7"/>
        <v>8.8361749999999906E-2</v>
      </c>
      <c r="D80" s="9">
        <f t="shared" si="2"/>
        <v>9.9539511374999896E-3</v>
      </c>
      <c r="G80" s="2" t="s">
        <v>451</v>
      </c>
      <c r="H80" s="2">
        <v>865.08243516602499</v>
      </c>
      <c r="J80"/>
      <c r="K80"/>
      <c r="L80"/>
    </row>
    <row r="81" spans="1:12" ht="16.2" x14ac:dyDescent="0.25">
      <c r="A81" s="7">
        <f t="shared" si="6"/>
        <v>2.4</v>
      </c>
      <c r="B81" s="8">
        <f t="shared" si="0"/>
        <v>0.1196</v>
      </c>
      <c r="C81" s="8">
        <f t="shared" si="7"/>
        <v>9.9062999999999901E-2</v>
      </c>
      <c r="D81" s="9">
        <f t="shared" si="2"/>
        <v>1.1847934799999999E-2</v>
      </c>
      <c r="G81" s="2" t="s">
        <v>452</v>
      </c>
      <c r="H81" s="2">
        <v>1.3497043459092801E-4</v>
      </c>
      <c r="J81"/>
      <c r="K81"/>
      <c r="L81"/>
    </row>
    <row r="82" spans="1:12" ht="16.2" x14ac:dyDescent="0.25">
      <c r="A82" s="7">
        <f t="shared" si="6"/>
        <v>2.4500000000000002</v>
      </c>
      <c r="B82" s="8">
        <f t="shared" si="0"/>
        <v>0.12655</v>
      </c>
      <c r="C82" s="8">
        <f t="shared" si="7"/>
        <v>0.11037574999999999</v>
      </c>
      <c r="D82" s="9">
        <f t="shared" si="2"/>
        <v>1.39680511625E-2</v>
      </c>
      <c r="G82" s="2" t="s">
        <v>453</v>
      </c>
      <c r="H82" s="13">
        <v>1.36240383007478E-33</v>
      </c>
      <c r="J82"/>
      <c r="K82"/>
      <c r="L82"/>
    </row>
    <row r="83" spans="1:12" ht="16.2" x14ac:dyDescent="0.25">
      <c r="A83" s="7">
        <f t="shared" si="6"/>
        <v>2.5</v>
      </c>
      <c r="B83" s="8">
        <f t="shared" si="0"/>
        <v>0.13350000000000001</v>
      </c>
      <c r="C83" s="8">
        <f t="shared" si="7"/>
        <v>0.12230000000000001</v>
      </c>
      <c r="D83" s="9">
        <f t="shared" si="2"/>
        <v>1.6327049999999999E-2</v>
      </c>
      <c r="G83" s="2" t="s">
        <v>454</v>
      </c>
      <c r="H83" s="2">
        <v>2.2944568969153899E-6</v>
      </c>
      <c r="J83"/>
      <c r="K83"/>
      <c r="L83"/>
    </row>
    <row r="84" spans="1:12" ht="16.2" x14ac:dyDescent="0.25">
      <c r="A84" s="7">
        <f t="shared" si="6"/>
        <v>2.5499999999999998</v>
      </c>
      <c r="B84" s="8">
        <f t="shared" si="0"/>
        <v>0.14044999999999999</v>
      </c>
      <c r="C84" s="8">
        <f t="shared" si="7"/>
        <v>0.13483575</v>
      </c>
      <c r="D84" s="9">
        <f t="shared" si="2"/>
        <v>1.8937681087499901E-2</v>
      </c>
      <c r="G84" s="2" t="s">
        <v>455</v>
      </c>
      <c r="H84" s="2">
        <v>1.51318944844124</v>
      </c>
      <c r="J84"/>
      <c r="K84"/>
      <c r="L84"/>
    </row>
    <row r="85" spans="1:12" ht="13.8" x14ac:dyDescent="0.25">
      <c r="A85" s="7">
        <f t="shared" si="6"/>
        <v>2.6</v>
      </c>
      <c r="B85" s="8">
        <f t="shared" si="0"/>
        <v>0.1474</v>
      </c>
      <c r="C85" s="8">
        <f t="shared" si="7"/>
        <v>0.147983</v>
      </c>
      <c r="D85" s="9">
        <f t="shared" si="2"/>
        <v>2.1812694199999899E-2</v>
      </c>
      <c r="G85" s="2" t="s">
        <v>456</v>
      </c>
      <c r="H85" s="2">
        <f>(a_1/((b_1*M1M2_calc+SQRT(c_1*M1M2_calc^2+d_1*M1M2_calc-e_1)+f_1)^(1/3)))+((b_1*M1M2_calc+SQRT(c_1*M1M2_calc^2+d_1*M1M2_calc-e_1)+f_1)^(1/3))+g_1</f>
        <v>3.0062366514746053</v>
      </c>
      <c r="J85"/>
      <c r="K85"/>
      <c r="L85"/>
    </row>
    <row r="86" spans="1:12" x14ac:dyDescent="0.25">
      <c r="A86" s="7">
        <f t="shared" ref="A86:A128" si="8">A85+0.05</f>
        <v>2.65</v>
      </c>
      <c r="B86" s="8">
        <f t="shared" si="0"/>
        <v>0.15434999999999999</v>
      </c>
      <c r="C86" s="8">
        <f t="shared" ref="C86:C128" si="9">IF(A86&lt;=1.5,0,IF(A86&lt;5.6,(0.1223*(A86-1.5)^2),IF(A86&lt;7,2.056,"VCOMP MUST BE &lt; 7")))</f>
        <v>0.16174174999999999</v>
      </c>
      <c r="D86" s="9">
        <f t="shared" si="2"/>
        <v>2.4964839112499901E-2</v>
      </c>
      <c r="J86"/>
      <c r="K86"/>
      <c r="L86"/>
    </row>
    <row r="87" spans="1:12" x14ac:dyDescent="0.25">
      <c r="A87" s="7">
        <f t="shared" si="8"/>
        <v>2.7</v>
      </c>
      <c r="B87" s="8">
        <f t="shared" si="0"/>
        <v>0.1613</v>
      </c>
      <c r="C87" s="8">
        <f t="shared" si="9"/>
        <v>0.17611199999999999</v>
      </c>
      <c r="D87" s="9">
        <f t="shared" si="2"/>
        <v>2.84068655999999E-2</v>
      </c>
      <c r="F87"/>
      <c r="G87"/>
      <c r="H87"/>
      <c r="J87"/>
      <c r="K87"/>
      <c r="L87"/>
    </row>
    <row r="88" spans="1:12" ht="16.2" x14ac:dyDescent="0.25">
      <c r="A88" s="7">
        <f t="shared" si="8"/>
        <v>2.75</v>
      </c>
      <c r="B88" s="8">
        <f t="shared" si="0"/>
        <v>0.16825000000000001</v>
      </c>
      <c r="C88" s="8">
        <f t="shared" si="9"/>
        <v>0.19109374999999901</v>
      </c>
      <c r="D88" s="9">
        <f t="shared" si="2"/>
        <v>3.2151523437499899E-2</v>
      </c>
      <c r="G88" s="2" t="s">
        <v>457</v>
      </c>
      <c r="H88" s="2">
        <v>6.5064611765579095E-2</v>
      </c>
      <c r="J88"/>
      <c r="K88"/>
      <c r="L88"/>
    </row>
    <row r="89" spans="1:12" ht="16.2" x14ac:dyDescent="0.25">
      <c r="A89" s="7">
        <f t="shared" si="8"/>
        <v>2.8</v>
      </c>
      <c r="B89" s="8">
        <f t="shared" si="0"/>
        <v>0.17519999999999999</v>
      </c>
      <c r="C89" s="8">
        <f t="shared" si="9"/>
        <v>0.20668699999999901</v>
      </c>
      <c r="D89" s="9">
        <f t="shared" si="2"/>
        <v>3.62115623999998E-2</v>
      </c>
      <c r="G89" s="2" t="s">
        <v>458</v>
      </c>
      <c r="H89" s="2">
        <v>14.653431687166799</v>
      </c>
      <c r="J89"/>
      <c r="K89"/>
      <c r="L89"/>
    </row>
    <row r="90" spans="1:12" ht="16.2" x14ac:dyDescent="0.25">
      <c r="A90" s="7">
        <f t="shared" si="8"/>
        <v>2.85</v>
      </c>
      <c r="B90" s="8">
        <f t="shared" si="0"/>
        <v>0.18215000000000001</v>
      </c>
      <c r="C90" s="8">
        <f t="shared" si="9"/>
        <v>0.222891749999999</v>
      </c>
      <c r="D90" s="9">
        <f t="shared" si="2"/>
        <v>4.0599732262499799E-2</v>
      </c>
      <c r="G90" s="2" t="s">
        <v>459</v>
      </c>
      <c r="H90" s="2">
        <v>214.72306021046401</v>
      </c>
      <c r="J90"/>
      <c r="K90"/>
      <c r="L90"/>
    </row>
    <row r="91" spans="1:12" ht="16.2" x14ac:dyDescent="0.25">
      <c r="A91" s="7">
        <f t="shared" si="8"/>
        <v>2.9</v>
      </c>
      <c r="B91" s="8">
        <f t="shared" si="0"/>
        <v>0.18909999999999999</v>
      </c>
      <c r="C91" s="8">
        <f t="shared" si="9"/>
        <v>0.23970799999999901</v>
      </c>
      <c r="D91" s="9">
        <f t="shared" si="2"/>
        <v>4.5328782799999801E-2</v>
      </c>
      <c r="G91" s="2" t="s">
        <v>460</v>
      </c>
      <c r="H91" s="2">
        <v>0.486392202252173</v>
      </c>
      <c r="J91"/>
      <c r="K91"/>
      <c r="L91"/>
    </row>
    <row r="92" spans="1:12" ht="16.2" x14ac:dyDescent="0.25">
      <c r="A92" s="7">
        <f t="shared" si="8"/>
        <v>2.95</v>
      </c>
      <c r="B92" s="8">
        <f t="shared" si="0"/>
        <v>0.19605</v>
      </c>
      <c r="C92" s="8">
        <f t="shared" si="9"/>
        <v>0.257135749999999</v>
      </c>
      <c r="D92" s="9">
        <f t="shared" si="2"/>
        <v>5.0411463787499798E-2</v>
      </c>
      <c r="G92" s="2" t="s">
        <v>461</v>
      </c>
      <c r="H92" s="13">
        <v>5.3371370618859003E-30</v>
      </c>
      <c r="J92"/>
      <c r="K92"/>
      <c r="L92"/>
    </row>
    <row r="93" spans="1:12" ht="16.2" x14ac:dyDescent="0.25">
      <c r="A93" s="7">
        <f t="shared" si="8"/>
        <v>3</v>
      </c>
      <c r="B93" s="8">
        <f t="shared" si="0"/>
        <v>0.20499999999999899</v>
      </c>
      <c r="C93" s="8">
        <f t="shared" si="9"/>
        <v>0.275174999999999</v>
      </c>
      <c r="D93" s="9">
        <f t="shared" si="2"/>
        <v>5.6410874999999597E-2</v>
      </c>
      <c r="G93" s="2" t="s">
        <v>462</v>
      </c>
      <c r="H93" s="2">
        <v>1.6596528807587899E-2</v>
      </c>
      <c r="J93"/>
      <c r="K93"/>
      <c r="L93"/>
    </row>
    <row r="94" spans="1:12" ht="16.2" x14ac:dyDescent="0.25">
      <c r="A94" s="7">
        <f t="shared" si="8"/>
        <v>3.05</v>
      </c>
      <c r="B94" s="8">
        <f t="shared" si="0"/>
        <v>0.21894999999999901</v>
      </c>
      <c r="C94" s="8">
        <f t="shared" si="9"/>
        <v>0.293825749999999</v>
      </c>
      <c r="D94" s="9">
        <f t="shared" si="2"/>
        <v>6.4333147962499601E-2</v>
      </c>
      <c r="G94" s="2" t="s">
        <v>463</v>
      </c>
      <c r="H94" s="2">
        <v>1.75507765830346</v>
      </c>
      <c r="J94"/>
      <c r="K94"/>
      <c r="L94"/>
    </row>
    <row r="95" spans="1:12" ht="13.8" x14ac:dyDescent="0.25">
      <c r="A95" s="7">
        <f t="shared" si="8"/>
        <v>3.1</v>
      </c>
      <c r="B95" s="8">
        <f t="shared" si="0"/>
        <v>0.232899999999999</v>
      </c>
      <c r="C95" s="8">
        <f t="shared" si="9"/>
        <v>0.31308799999999898</v>
      </c>
      <c r="D95" s="9">
        <f t="shared" si="2"/>
        <v>7.2918195199999494E-2</v>
      </c>
      <c r="G95" s="2" t="s">
        <v>464</v>
      </c>
      <c r="H95" s="2">
        <f>(a_2/((b_2*M1M2_calc+SQRT(c_2*M1M2_calc^2+d_2*M1M2_calc-e_2)+f_2)^(1/3)))+((b_2*M1M2_calc+SQRT(c_2*M1M2_calc^2+d_2*M1M2_calc-e_2)+f_2)^(1/3))+g_2</f>
        <v>3.0010232880533749</v>
      </c>
      <c r="J95"/>
      <c r="K95"/>
      <c r="L95"/>
    </row>
    <row r="96" spans="1:12" x14ac:dyDescent="0.25">
      <c r="A96" s="7">
        <f t="shared" si="8"/>
        <v>3.15</v>
      </c>
      <c r="B96" s="8">
        <f t="shared" si="0"/>
        <v>0.24684999999999899</v>
      </c>
      <c r="C96" s="8">
        <f t="shared" si="9"/>
        <v>0.332961749999999</v>
      </c>
      <c r="D96" s="9">
        <f t="shared" si="2"/>
        <v>8.2191607987499402E-2</v>
      </c>
      <c r="G96"/>
      <c r="H96"/>
      <c r="J96"/>
      <c r="K96"/>
      <c r="L96"/>
    </row>
    <row r="97" spans="1:12" x14ac:dyDescent="0.25">
      <c r="A97" s="7">
        <f t="shared" si="8"/>
        <v>3.2</v>
      </c>
      <c r="B97" s="8">
        <f t="shared" si="0"/>
        <v>0.26079999999999898</v>
      </c>
      <c r="C97" s="8">
        <f t="shared" si="9"/>
        <v>0.35344699999999901</v>
      </c>
      <c r="D97" s="9">
        <f t="shared" si="2"/>
        <v>9.2178977599999296E-2</v>
      </c>
      <c r="J97"/>
      <c r="K97"/>
      <c r="L97"/>
    </row>
    <row r="98" spans="1:12" ht="13.8" x14ac:dyDescent="0.25">
      <c r="A98" s="7">
        <f t="shared" si="8"/>
        <v>3.25</v>
      </c>
      <c r="B98" s="8">
        <f t="shared" ref="B98:B161" si="10">IF(A98&lt;2,(0.064),IF(A98&lt;3,(0.139*A98-0.214),IF(A98&lt;5.5,(0.279*A98-0.632),IF(A98&lt;7,0.903,"VCOMP MUST BE &lt; 7"))))</f>
        <v>0.274749999999999</v>
      </c>
      <c r="C98" s="8">
        <f t="shared" si="9"/>
        <v>0.37454374999999901</v>
      </c>
      <c r="D98" s="9">
        <f t="shared" ref="D98:D161" si="11">B98*C98</f>
        <v>0.102905895312499</v>
      </c>
      <c r="G98" s="11"/>
      <c r="H98" s="12"/>
      <c r="J98"/>
      <c r="K98"/>
      <c r="L98"/>
    </row>
    <row r="99" spans="1:12" ht="16.2" x14ac:dyDescent="0.25">
      <c r="A99" s="7">
        <f t="shared" si="8"/>
        <v>3.3</v>
      </c>
      <c r="B99" s="8">
        <f t="shared" si="10"/>
        <v>0.28869999999999901</v>
      </c>
      <c r="C99" s="8">
        <f t="shared" si="9"/>
        <v>0.39625199999999799</v>
      </c>
      <c r="D99" s="9">
        <f t="shared" si="11"/>
        <v>0.114397952399999</v>
      </c>
      <c r="G99" s="2" t="s">
        <v>465</v>
      </c>
      <c r="H99" s="2">
        <v>3.00914348240785</v>
      </c>
      <c r="J99"/>
      <c r="K99"/>
      <c r="L99"/>
    </row>
    <row r="100" spans="1:12" ht="16.2" x14ac:dyDescent="0.25">
      <c r="A100" s="7">
        <f t="shared" si="8"/>
        <v>3.35</v>
      </c>
      <c r="B100" s="8">
        <f t="shared" si="10"/>
        <v>0.30264999999999898</v>
      </c>
      <c r="C100" s="8">
        <f t="shared" si="9"/>
        <v>0.41857174999999802</v>
      </c>
      <c r="D100" s="9">
        <f t="shared" si="11"/>
        <v>0.126680740137499</v>
      </c>
      <c r="G100" s="2" t="s">
        <v>466</v>
      </c>
      <c r="H100" s="2">
        <v>1.5</v>
      </c>
      <c r="J100"/>
      <c r="K100"/>
      <c r="L100"/>
    </row>
    <row r="101" spans="1:12" ht="13.8" x14ac:dyDescent="0.25">
      <c r="A101" s="7">
        <f t="shared" si="8"/>
        <v>3.4</v>
      </c>
      <c r="B101" s="8">
        <f t="shared" si="10"/>
        <v>0.31659999999999899</v>
      </c>
      <c r="C101" s="8">
        <f t="shared" si="9"/>
        <v>0.44150299999999798</v>
      </c>
      <c r="D101" s="9">
        <f t="shared" si="11"/>
        <v>0.139779849799999</v>
      </c>
      <c r="G101" s="2" t="s">
        <v>467</v>
      </c>
      <c r="H101" s="2">
        <f>a_3*SQRT(M1M2_calc)+b_3</f>
        <v>2.2156862767724865</v>
      </c>
      <c r="J101"/>
      <c r="K101"/>
      <c r="L101"/>
    </row>
    <row r="102" spans="1:12" x14ac:dyDescent="0.25">
      <c r="A102" s="7">
        <f t="shared" si="8"/>
        <v>3.45</v>
      </c>
      <c r="B102" s="8">
        <f t="shared" si="10"/>
        <v>0.33054999999999901</v>
      </c>
      <c r="C102" s="8">
        <f t="shared" si="9"/>
        <v>0.46504574999999798</v>
      </c>
      <c r="D102" s="9">
        <f t="shared" si="11"/>
        <v>0.15372087266249901</v>
      </c>
      <c r="J102"/>
      <c r="K102"/>
      <c r="L102"/>
    </row>
    <row r="103" spans="1:12" x14ac:dyDescent="0.25">
      <c r="A103" s="7">
        <f t="shared" si="8"/>
        <v>3.5</v>
      </c>
      <c r="B103" s="8">
        <f t="shared" si="10"/>
        <v>0.34449999999999897</v>
      </c>
      <c r="C103" s="8">
        <f t="shared" si="9"/>
        <v>0.48919999999999803</v>
      </c>
      <c r="D103" s="9">
        <f t="shared" si="11"/>
        <v>0.168529399999999</v>
      </c>
      <c r="F103"/>
      <c r="G103"/>
      <c r="H103"/>
      <c r="J103"/>
      <c r="K103"/>
      <c r="L103"/>
    </row>
    <row r="104" spans="1:12" x14ac:dyDescent="0.25">
      <c r="A104" s="7">
        <f t="shared" si="8"/>
        <v>3.55</v>
      </c>
      <c r="B104" s="8">
        <f t="shared" si="10"/>
        <v>0.35844999999999899</v>
      </c>
      <c r="C104" s="8">
        <f t="shared" si="9"/>
        <v>0.513965749999998</v>
      </c>
      <c r="D104" s="9">
        <f t="shared" si="11"/>
        <v>0.184231023087499</v>
      </c>
      <c r="F104"/>
      <c r="G104"/>
      <c r="H104"/>
      <c r="J104"/>
      <c r="K104"/>
      <c r="L104"/>
    </row>
    <row r="105" spans="1:12" x14ac:dyDescent="0.25">
      <c r="A105" s="7">
        <f t="shared" si="8"/>
        <v>3.5999999999999899</v>
      </c>
      <c r="B105" s="8">
        <f t="shared" si="10"/>
        <v>0.37239999999999901</v>
      </c>
      <c r="C105" s="8">
        <f t="shared" si="9"/>
        <v>0.53934299999999802</v>
      </c>
      <c r="D105" s="9">
        <f t="shared" si="11"/>
        <v>0.20085133319999801</v>
      </c>
      <c r="F105"/>
      <c r="G105" s="14" t="s">
        <v>253</v>
      </c>
      <c r="H105">
        <f>IF(VCOMP1&gt;=1.5,IF(VCOMP1&lt;2,VCOMP1,IF(VCOMP2&gt;=2,IF(VCOMP2&lt;3,VCOMP2,IF(VCOMP3&gt;=3,IF(VCOMP3&lt;5.5,VCOMP3,IF(VCOMP4&gt;=5.5,IF(VCOMP4&lt;5.6,VCOMP4,5.7))))))))</f>
        <v>3.0010232880533749</v>
      </c>
      <c r="J105"/>
      <c r="K105"/>
      <c r="L105"/>
    </row>
    <row r="106" spans="1:12" x14ac:dyDescent="0.25">
      <c r="A106" s="7">
        <f t="shared" si="8"/>
        <v>3.6499999999999901</v>
      </c>
      <c r="B106" s="8">
        <f t="shared" si="10"/>
        <v>0.38634999999999903</v>
      </c>
      <c r="C106" s="8">
        <f t="shared" si="9"/>
        <v>0.56533174999999702</v>
      </c>
      <c r="D106" s="9">
        <f t="shared" si="11"/>
        <v>0.21841592161249801</v>
      </c>
      <c r="F106"/>
      <c r="G106"/>
      <c r="H106"/>
      <c r="J106"/>
      <c r="K106"/>
      <c r="L106"/>
    </row>
    <row r="107" spans="1:12" x14ac:dyDescent="0.25">
      <c r="A107" s="7">
        <f t="shared" si="8"/>
        <v>3.69999999999999</v>
      </c>
      <c r="B107" s="8">
        <f t="shared" si="10"/>
        <v>0.40029999999999899</v>
      </c>
      <c r="C107" s="8">
        <f t="shared" si="9"/>
        <v>0.59193199999999702</v>
      </c>
      <c r="D107" s="9">
        <f t="shared" si="11"/>
        <v>0.23695037959999801</v>
      </c>
      <c r="F107"/>
      <c r="G107" s="14"/>
      <c r="H107"/>
      <c r="J107"/>
      <c r="K107"/>
      <c r="L107"/>
    </row>
    <row r="108" spans="1:12" x14ac:dyDescent="0.25">
      <c r="A108" s="7">
        <f t="shared" si="8"/>
        <v>3.7499999999999898</v>
      </c>
      <c r="B108" s="8">
        <f t="shared" si="10"/>
        <v>0.41424999999999901</v>
      </c>
      <c r="C108" s="8">
        <f t="shared" si="9"/>
        <v>0.619143749999997</v>
      </c>
      <c r="D108" s="9">
        <f t="shared" si="11"/>
        <v>0.25648029843749798</v>
      </c>
      <c r="F108"/>
      <c r="G108"/>
      <c r="H108"/>
      <c r="J108"/>
      <c r="K108"/>
      <c r="L108"/>
    </row>
    <row r="109" spans="1:12" x14ac:dyDescent="0.25">
      <c r="A109" s="7">
        <f t="shared" si="8"/>
        <v>3.7999999999999901</v>
      </c>
      <c r="B109" s="8">
        <f t="shared" si="10"/>
        <v>0.42819999999999803</v>
      </c>
      <c r="C109" s="8">
        <f t="shared" si="9"/>
        <v>0.64696699999999696</v>
      </c>
      <c r="D109" s="9">
        <f t="shared" si="11"/>
        <v>0.277031269399998</v>
      </c>
      <c r="F109"/>
      <c r="G109"/>
      <c r="H109"/>
      <c r="J109"/>
      <c r="K109"/>
      <c r="L109"/>
    </row>
    <row r="110" spans="1:12" x14ac:dyDescent="0.25">
      <c r="A110" s="7">
        <f t="shared" si="8"/>
        <v>3.8499999999999899</v>
      </c>
      <c r="B110" s="8">
        <f t="shared" si="10"/>
        <v>0.44214999999999899</v>
      </c>
      <c r="C110" s="8">
        <f t="shared" si="9"/>
        <v>0.67540174999999703</v>
      </c>
      <c r="D110" s="9">
        <f t="shared" si="11"/>
        <v>0.29862888376249802</v>
      </c>
      <c r="J110"/>
      <c r="K110"/>
      <c r="L110"/>
    </row>
    <row r="111" spans="1:12" x14ac:dyDescent="0.25">
      <c r="A111" s="7">
        <f t="shared" si="8"/>
        <v>3.8999999999999901</v>
      </c>
      <c r="B111" s="8">
        <f t="shared" si="10"/>
        <v>0.45609999999999901</v>
      </c>
      <c r="C111" s="8">
        <f t="shared" si="9"/>
        <v>0.70444799999999697</v>
      </c>
      <c r="D111" s="9">
        <f t="shared" si="11"/>
        <v>0.32129873279999699</v>
      </c>
      <c r="J111"/>
      <c r="K111"/>
      <c r="L111"/>
    </row>
    <row r="112" spans="1:12" x14ac:dyDescent="0.25">
      <c r="A112" s="7">
        <f t="shared" si="8"/>
        <v>3.94999999999999</v>
      </c>
      <c r="B112" s="8">
        <f t="shared" si="10"/>
        <v>0.47004999999999802</v>
      </c>
      <c r="C112" s="8">
        <f t="shared" si="9"/>
        <v>0.734105749999996</v>
      </c>
      <c r="D112" s="9">
        <f t="shared" si="11"/>
        <v>0.34506640778749698</v>
      </c>
      <c r="J112"/>
      <c r="K112"/>
      <c r="L112"/>
    </row>
    <row r="113" spans="1:12" x14ac:dyDescent="0.25">
      <c r="A113" s="7">
        <f t="shared" si="8"/>
        <v>3.9999999999999898</v>
      </c>
      <c r="B113" s="8">
        <f t="shared" si="10"/>
        <v>0.48399999999999799</v>
      </c>
      <c r="C113" s="8">
        <f t="shared" si="9"/>
        <v>0.76437499999999603</v>
      </c>
      <c r="D113" s="9">
        <f t="shared" si="11"/>
        <v>0.369957499999997</v>
      </c>
      <c r="J113"/>
      <c r="K113"/>
      <c r="L113"/>
    </row>
    <row r="114" spans="1:12" x14ac:dyDescent="0.25">
      <c r="A114" s="7">
        <f t="shared" si="8"/>
        <v>4.0499999999999901</v>
      </c>
      <c r="B114" s="8">
        <f t="shared" si="10"/>
        <v>0.49794999999999801</v>
      </c>
      <c r="C114" s="8">
        <f t="shared" si="9"/>
        <v>0.79525574999999604</v>
      </c>
      <c r="D114" s="9">
        <f t="shared" si="11"/>
        <v>0.39599760071249701</v>
      </c>
      <c r="J114"/>
      <c r="K114"/>
      <c r="L114"/>
    </row>
    <row r="115" spans="1:12" x14ac:dyDescent="0.25">
      <c r="A115" s="7">
        <f t="shared" si="8"/>
        <v>4.0999999999999899</v>
      </c>
      <c r="B115" s="8">
        <f t="shared" si="10"/>
        <v>0.51189999999999802</v>
      </c>
      <c r="C115" s="8">
        <f t="shared" si="9"/>
        <v>0.82674799999999604</v>
      </c>
      <c r="D115" s="9">
        <f t="shared" si="11"/>
        <v>0.42321230119999698</v>
      </c>
      <c r="J115"/>
      <c r="K115"/>
      <c r="L115"/>
    </row>
    <row r="116" spans="1:12" x14ac:dyDescent="0.25">
      <c r="A116" s="7">
        <f t="shared" si="8"/>
        <v>4.1499999999999897</v>
      </c>
      <c r="B116" s="8">
        <f t="shared" si="10"/>
        <v>0.52584999999999804</v>
      </c>
      <c r="C116" s="8">
        <f t="shared" si="9"/>
        <v>0.85885174999999603</v>
      </c>
      <c r="D116" s="9">
        <f t="shared" si="11"/>
        <v>0.45162719273749602</v>
      </c>
      <c r="J116"/>
      <c r="K116"/>
      <c r="L116"/>
    </row>
    <row r="117" spans="1:12" x14ac:dyDescent="0.25">
      <c r="A117" s="7">
        <f t="shared" si="8"/>
        <v>4.1999999999999904</v>
      </c>
      <c r="B117" s="8">
        <f t="shared" si="10"/>
        <v>0.53979999999999795</v>
      </c>
      <c r="C117" s="8">
        <f t="shared" si="9"/>
        <v>0.891566999999995</v>
      </c>
      <c r="D117" s="9">
        <f t="shared" si="11"/>
        <v>0.48126786659999599</v>
      </c>
      <c r="J117"/>
      <c r="K117"/>
      <c r="L117"/>
    </row>
    <row r="118" spans="1:12" x14ac:dyDescent="0.25">
      <c r="A118" s="7">
        <f t="shared" si="8"/>
        <v>4.2499999999999902</v>
      </c>
      <c r="B118" s="8">
        <f t="shared" si="10"/>
        <v>0.55374999999999797</v>
      </c>
      <c r="C118" s="8">
        <f t="shared" si="9"/>
        <v>0.92489374999999496</v>
      </c>
      <c r="D118" s="9">
        <f t="shared" si="11"/>
        <v>0.51215991406249595</v>
      </c>
      <c r="J118"/>
      <c r="K118"/>
      <c r="L118"/>
    </row>
    <row r="119" spans="1:12" x14ac:dyDescent="0.25">
      <c r="A119" s="7">
        <f t="shared" si="8"/>
        <v>4.2999999999999901</v>
      </c>
      <c r="B119" s="8">
        <f t="shared" si="10"/>
        <v>0.56769999999999798</v>
      </c>
      <c r="C119" s="8">
        <f t="shared" si="9"/>
        <v>0.95883199999999502</v>
      </c>
      <c r="D119" s="9">
        <f t="shared" si="11"/>
        <v>0.54432892639999497</v>
      </c>
      <c r="J119"/>
      <c r="K119"/>
      <c r="L119"/>
    </row>
    <row r="120" spans="1:12" x14ac:dyDescent="0.25">
      <c r="A120" s="7">
        <f t="shared" si="8"/>
        <v>4.3499999999999899</v>
      </c>
      <c r="B120" s="8">
        <f t="shared" si="10"/>
        <v>0.581649999999998</v>
      </c>
      <c r="C120" s="8">
        <f t="shared" si="9"/>
        <v>0.99338174999999496</v>
      </c>
      <c r="D120" s="9">
        <f t="shared" si="11"/>
        <v>0.57780049488749496</v>
      </c>
      <c r="J120"/>
      <c r="K120"/>
      <c r="L120"/>
    </row>
    <row r="121" spans="1:12" x14ac:dyDescent="0.25">
      <c r="A121" s="7">
        <f t="shared" si="8"/>
        <v>4.3999999999999897</v>
      </c>
      <c r="B121" s="8">
        <f t="shared" si="10"/>
        <v>0.59559999999999802</v>
      </c>
      <c r="C121" s="8">
        <f t="shared" si="9"/>
        <v>1.02854299999999</v>
      </c>
      <c r="D121" s="9">
        <f t="shared" si="11"/>
        <v>0.61260021079999505</v>
      </c>
      <c r="J121"/>
      <c r="K121"/>
      <c r="L121"/>
    </row>
    <row r="122" spans="1:12" x14ac:dyDescent="0.25">
      <c r="A122" s="7">
        <f t="shared" si="8"/>
        <v>4.4499999999999904</v>
      </c>
      <c r="B122" s="8">
        <f t="shared" si="10"/>
        <v>0.60954999999999804</v>
      </c>
      <c r="C122" s="8">
        <f t="shared" si="9"/>
        <v>1.06431574999999</v>
      </c>
      <c r="D122" s="9">
        <f t="shared" si="11"/>
        <v>0.64875366541249402</v>
      </c>
      <c r="J122"/>
      <c r="K122"/>
      <c r="L122"/>
    </row>
    <row r="123" spans="1:12" x14ac:dyDescent="0.25">
      <c r="A123" s="7">
        <f t="shared" si="8"/>
        <v>4.4999999999999902</v>
      </c>
      <c r="B123" s="8">
        <f t="shared" si="10"/>
        <v>0.62349999999999794</v>
      </c>
      <c r="C123" s="8">
        <f t="shared" si="9"/>
        <v>1.10069999999999</v>
      </c>
      <c r="D123" s="9">
        <f t="shared" si="11"/>
        <v>0.686286449999994</v>
      </c>
      <c r="J123"/>
      <c r="K123"/>
      <c r="L123"/>
    </row>
    <row r="124" spans="1:12" x14ac:dyDescent="0.25">
      <c r="A124" s="7">
        <f t="shared" si="8"/>
        <v>4.5499999999999901</v>
      </c>
      <c r="B124" s="8">
        <f t="shared" si="10"/>
        <v>0.63744999999999796</v>
      </c>
      <c r="C124" s="8">
        <f t="shared" si="9"/>
        <v>1.13769574999999</v>
      </c>
      <c r="D124" s="9">
        <f t="shared" si="11"/>
        <v>0.725224155837494</v>
      </c>
      <c r="J124"/>
      <c r="K124"/>
      <c r="L124"/>
    </row>
    <row r="125" spans="1:12" x14ac:dyDescent="0.25">
      <c r="A125" s="7">
        <f t="shared" si="8"/>
        <v>4.5999999999999899</v>
      </c>
      <c r="B125" s="8">
        <f t="shared" si="10"/>
        <v>0.65139999999999798</v>
      </c>
      <c r="C125" s="8">
        <f t="shared" si="9"/>
        <v>1.17530299999999</v>
      </c>
      <c r="D125" s="9">
        <f t="shared" si="11"/>
        <v>0.76559237419999304</v>
      </c>
      <c r="J125"/>
      <c r="K125"/>
      <c r="L125"/>
    </row>
    <row r="126" spans="1:12" x14ac:dyDescent="0.25">
      <c r="A126" s="7">
        <f t="shared" si="8"/>
        <v>4.6499999999999897</v>
      </c>
      <c r="B126" s="8">
        <f t="shared" si="10"/>
        <v>0.665349999999998</v>
      </c>
      <c r="C126" s="8">
        <f t="shared" si="9"/>
        <v>1.21352174999999</v>
      </c>
      <c r="D126" s="9">
        <f t="shared" si="11"/>
        <v>0.80741669636249302</v>
      </c>
      <c r="J126"/>
      <c r="K126"/>
      <c r="L126"/>
    </row>
    <row r="127" spans="1:12" x14ac:dyDescent="0.25">
      <c r="A127" s="7">
        <f t="shared" si="8"/>
        <v>4.6999999999999904</v>
      </c>
      <c r="B127" s="8">
        <f t="shared" si="10"/>
        <v>0.67929999999999802</v>
      </c>
      <c r="C127" s="8">
        <f t="shared" si="9"/>
        <v>1.2523519999999899</v>
      </c>
      <c r="D127" s="9">
        <f t="shared" si="11"/>
        <v>0.85072271359999296</v>
      </c>
      <c r="J127"/>
      <c r="K127"/>
      <c r="L127"/>
    </row>
    <row r="128" spans="1:12" x14ac:dyDescent="0.25">
      <c r="A128" s="7">
        <f t="shared" si="8"/>
        <v>4.7499999999999902</v>
      </c>
      <c r="B128" s="8">
        <f t="shared" si="10"/>
        <v>0.69324999999999803</v>
      </c>
      <c r="C128" s="8">
        <f t="shared" si="9"/>
        <v>1.2917937499999901</v>
      </c>
      <c r="D128" s="9">
        <f t="shared" si="11"/>
        <v>0.89553601718749198</v>
      </c>
      <c r="J128"/>
      <c r="K128"/>
      <c r="L128"/>
    </row>
    <row r="129" spans="1:12" x14ac:dyDescent="0.25">
      <c r="A129" s="7">
        <f t="shared" ref="A129:A174" si="12">A128+0.05</f>
        <v>4.7999999999999901</v>
      </c>
      <c r="B129" s="8">
        <f t="shared" si="10"/>
        <v>0.70719999999999705</v>
      </c>
      <c r="C129" s="8">
        <f t="shared" ref="C129:C174" si="13">IF(A129&lt;=1.5,0,IF(A129&lt;5.6,(0.1223*(A129-1.5)^2),IF(A129&lt;7,2.056,"VCOMP MUST BE &lt; 7")))</f>
        <v>1.33184699999999</v>
      </c>
      <c r="D129" s="9">
        <f t="shared" si="11"/>
        <v>0.94188219839999099</v>
      </c>
      <c r="J129"/>
      <c r="K129"/>
      <c r="L129"/>
    </row>
    <row r="130" spans="1:12" x14ac:dyDescent="0.25">
      <c r="A130" s="7">
        <f t="shared" si="12"/>
        <v>4.8499999999999899</v>
      </c>
      <c r="B130" s="8">
        <f t="shared" si="10"/>
        <v>0.72114999999999796</v>
      </c>
      <c r="C130" s="8">
        <f t="shared" si="13"/>
        <v>1.3725117499999899</v>
      </c>
      <c r="D130" s="9">
        <f t="shared" si="11"/>
        <v>0.98978684851249099</v>
      </c>
      <c r="J130"/>
      <c r="K130"/>
      <c r="L130"/>
    </row>
    <row r="131" spans="1:12" x14ac:dyDescent="0.25">
      <c r="A131" s="7">
        <f t="shared" si="12"/>
        <v>4.8999999999999897</v>
      </c>
      <c r="B131" s="8">
        <f t="shared" si="10"/>
        <v>0.73509999999999798</v>
      </c>
      <c r="C131" s="8">
        <f t="shared" si="13"/>
        <v>1.4137879999999901</v>
      </c>
      <c r="D131" s="9">
        <f t="shared" si="11"/>
        <v>1.03927555879999</v>
      </c>
      <c r="J131"/>
      <c r="K131"/>
      <c r="L131"/>
    </row>
    <row r="132" spans="1:12" x14ac:dyDescent="0.25">
      <c r="A132" s="7">
        <f t="shared" si="12"/>
        <v>4.9499999999999904</v>
      </c>
      <c r="B132" s="8">
        <f t="shared" si="10"/>
        <v>0.749049999999997</v>
      </c>
      <c r="C132" s="8">
        <f t="shared" si="13"/>
        <v>1.4556757499999899</v>
      </c>
      <c r="D132" s="9">
        <f t="shared" si="11"/>
        <v>1.09037392053749</v>
      </c>
      <c r="J132"/>
      <c r="K132"/>
      <c r="L132"/>
    </row>
    <row r="133" spans="1:12" x14ac:dyDescent="0.25">
      <c r="A133" s="7">
        <f t="shared" si="12"/>
        <v>4.9999999999999902</v>
      </c>
      <c r="B133" s="8">
        <f t="shared" si="10"/>
        <v>0.76299999999999701</v>
      </c>
      <c r="C133" s="8">
        <f t="shared" si="13"/>
        <v>1.49817499999999</v>
      </c>
      <c r="D133" s="9">
        <f t="shared" si="11"/>
        <v>1.14310752499999</v>
      </c>
      <c r="J133"/>
      <c r="K133"/>
      <c r="L133"/>
    </row>
    <row r="134" spans="1:12" x14ac:dyDescent="0.25">
      <c r="A134" s="7">
        <f t="shared" si="12"/>
        <v>5.0499999999999901</v>
      </c>
      <c r="B134" s="8">
        <f t="shared" si="10"/>
        <v>0.77694999999999703</v>
      </c>
      <c r="C134" s="8">
        <f t="shared" si="13"/>
        <v>1.5412857499999899</v>
      </c>
      <c r="D134" s="9">
        <f t="shared" si="11"/>
        <v>1.1975019634624899</v>
      </c>
      <c r="J134"/>
      <c r="K134"/>
      <c r="L134"/>
    </row>
    <row r="135" spans="1:12" x14ac:dyDescent="0.25">
      <c r="A135" s="7">
        <f t="shared" si="12"/>
        <v>5.0999999999999899</v>
      </c>
      <c r="B135" s="8">
        <f t="shared" si="10"/>
        <v>0.79089999999999705</v>
      </c>
      <c r="C135" s="8">
        <f t="shared" si="13"/>
        <v>1.58500799999999</v>
      </c>
      <c r="D135" s="9">
        <f t="shared" si="11"/>
        <v>1.25358282719999</v>
      </c>
      <c r="J135"/>
      <c r="K135"/>
      <c r="L135"/>
    </row>
    <row r="136" spans="1:12" x14ac:dyDescent="0.25">
      <c r="A136" s="7">
        <f t="shared" si="12"/>
        <v>5.1499999999999897</v>
      </c>
      <c r="B136" s="8">
        <f t="shared" si="10"/>
        <v>0.80484999999999696</v>
      </c>
      <c r="C136" s="8">
        <f t="shared" si="13"/>
        <v>1.62934174999999</v>
      </c>
      <c r="D136" s="9">
        <f t="shared" si="11"/>
        <v>1.3113757074874901</v>
      </c>
      <c r="J136"/>
      <c r="K136"/>
      <c r="L136"/>
    </row>
    <row r="137" spans="1:12" x14ac:dyDescent="0.25">
      <c r="A137" s="7">
        <f t="shared" si="12"/>
        <v>5.1999999999999904</v>
      </c>
      <c r="B137" s="8">
        <f t="shared" si="10"/>
        <v>0.81879999999999697</v>
      </c>
      <c r="C137" s="8">
        <f t="shared" si="13"/>
        <v>1.6742869999999901</v>
      </c>
      <c r="D137" s="9">
        <f t="shared" si="11"/>
        <v>1.3709061955999899</v>
      </c>
      <c r="J137"/>
      <c r="K137"/>
      <c r="L137"/>
    </row>
    <row r="138" spans="1:12" x14ac:dyDescent="0.25">
      <c r="A138" s="7">
        <f t="shared" si="12"/>
        <v>5.2499999999999902</v>
      </c>
      <c r="B138" s="8">
        <f t="shared" si="10"/>
        <v>0.83274999999999699</v>
      </c>
      <c r="C138" s="8">
        <f t="shared" si="13"/>
        <v>1.7198437499999899</v>
      </c>
      <c r="D138" s="9">
        <f t="shared" si="11"/>
        <v>1.43219988281249</v>
      </c>
      <c r="J138"/>
      <c r="K138"/>
      <c r="L138"/>
    </row>
    <row r="139" spans="1:12" x14ac:dyDescent="0.25">
      <c r="A139" s="7">
        <f t="shared" si="12"/>
        <v>5.2999999999999901</v>
      </c>
      <c r="B139" s="8">
        <f t="shared" si="10"/>
        <v>0.84669999999999701</v>
      </c>
      <c r="C139" s="8">
        <f t="shared" si="13"/>
        <v>1.7660119999999899</v>
      </c>
      <c r="D139" s="9">
        <f t="shared" si="11"/>
        <v>1.4952823603999901</v>
      </c>
      <c r="J139"/>
      <c r="K139"/>
      <c r="L139"/>
    </row>
    <row r="140" spans="1:12" x14ac:dyDescent="0.25">
      <c r="A140" s="7">
        <f t="shared" si="12"/>
        <v>5.3499999999999899</v>
      </c>
      <c r="B140" s="8">
        <f t="shared" si="10"/>
        <v>0.86064999999999703</v>
      </c>
      <c r="C140" s="8">
        <f t="shared" si="13"/>
        <v>1.8127917499999899</v>
      </c>
      <c r="D140" s="9">
        <f t="shared" si="11"/>
        <v>1.56017921963749</v>
      </c>
      <c r="J140"/>
      <c r="K140"/>
      <c r="L140"/>
    </row>
    <row r="141" spans="1:12" x14ac:dyDescent="0.25">
      <c r="A141" s="7">
        <f t="shared" si="12"/>
        <v>5.3999999999999897</v>
      </c>
      <c r="B141" s="8">
        <f t="shared" si="10"/>
        <v>0.87459999999999705</v>
      </c>
      <c r="C141" s="8">
        <f t="shared" si="13"/>
        <v>1.8601829999999899</v>
      </c>
      <c r="D141" s="9">
        <f t="shared" si="11"/>
        <v>1.6269160517999901</v>
      </c>
      <c r="J141"/>
      <c r="K141"/>
      <c r="L141"/>
    </row>
    <row r="142" spans="1:12" x14ac:dyDescent="0.25">
      <c r="A142" s="7">
        <f t="shared" si="12"/>
        <v>5.4499999999999904</v>
      </c>
      <c r="B142" s="8">
        <f t="shared" si="10"/>
        <v>0.88854999999999695</v>
      </c>
      <c r="C142" s="8">
        <f t="shared" si="13"/>
        <v>1.9081857499999899</v>
      </c>
      <c r="D142" s="9">
        <f t="shared" si="11"/>
        <v>1.6955184481624801</v>
      </c>
      <c r="J142"/>
      <c r="K142"/>
      <c r="L142"/>
    </row>
    <row r="143" spans="1:12" x14ac:dyDescent="0.25">
      <c r="A143" s="7">
        <f t="shared" si="12"/>
        <v>5.4999999999999902</v>
      </c>
      <c r="B143" s="8">
        <f t="shared" si="10"/>
        <v>0.90249999999999697</v>
      </c>
      <c r="C143" s="8">
        <f t="shared" si="13"/>
        <v>1.9567999999999901</v>
      </c>
      <c r="D143" s="9">
        <f t="shared" si="11"/>
        <v>1.7660119999999799</v>
      </c>
      <c r="J143"/>
      <c r="K143"/>
      <c r="L143"/>
    </row>
    <row r="144" spans="1:12" x14ac:dyDescent="0.25">
      <c r="A144" s="7">
        <f t="shared" si="12"/>
        <v>5.5499999999999901</v>
      </c>
      <c r="B144" s="8">
        <f t="shared" si="10"/>
        <v>0.90300000000000002</v>
      </c>
      <c r="C144" s="8">
        <f t="shared" si="13"/>
        <v>2.0060257499999898</v>
      </c>
      <c r="D144" s="9">
        <f t="shared" si="11"/>
        <v>1.8114412522499901</v>
      </c>
      <c r="J144"/>
      <c r="K144"/>
      <c r="L144"/>
    </row>
    <row r="145" spans="1:12" x14ac:dyDescent="0.25">
      <c r="A145" s="7">
        <f t="shared" si="12"/>
        <v>5.5999999999999899</v>
      </c>
      <c r="B145" s="8">
        <f t="shared" si="10"/>
        <v>0.90300000000000002</v>
      </c>
      <c r="C145" s="8">
        <f t="shared" si="13"/>
        <v>2.0558629999999898</v>
      </c>
      <c r="D145" s="9">
        <f t="shared" si="11"/>
        <v>1.8564442889999899</v>
      </c>
      <c r="J145"/>
      <c r="K145"/>
      <c r="L145"/>
    </row>
    <row r="146" spans="1:12" x14ac:dyDescent="0.25">
      <c r="A146" s="7">
        <f t="shared" si="12"/>
        <v>5.6499999999999897</v>
      </c>
      <c r="B146" s="8">
        <f t="shared" si="10"/>
        <v>0.90300000000000002</v>
      </c>
      <c r="C146" s="8">
        <f t="shared" si="13"/>
        <v>2.056</v>
      </c>
      <c r="D146" s="9">
        <f t="shared" si="11"/>
        <v>1.856568</v>
      </c>
      <c r="J146"/>
      <c r="K146"/>
      <c r="L146"/>
    </row>
    <row r="147" spans="1:12" x14ac:dyDescent="0.25">
      <c r="A147" s="7">
        <f t="shared" si="12"/>
        <v>5.6999999999999904</v>
      </c>
      <c r="B147" s="8">
        <f t="shared" si="10"/>
        <v>0.90300000000000002</v>
      </c>
      <c r="C147" s="8">
        <f t="shared" si="13"/>
        <v>2.056</v>
      </c>
      <c r="D147" s="9">
        <f t="shared" si="11"/>
        <v>1.856568</v>
      </c>
      <c r="J147"/>
      <c r="K147"/>
      <c r="L147"/>
    </row>
    <row r="148" spans="1:12" x14ac:dyDescent="0.25">
      <c r="A148" s="7">
        <f t="shared" si="12"/>
        <v>5.7499999999999902</v>
      </c>
      <c r="B148" s="8">
        <f t="shared" si="10"/>
        <v>0.90300000000000002</v>
      </c>
      <c r="C148" s="8">
        <f t="shared" si="13"/>
        <v>2.056</v>
      </c>
      <c r="D148" s="9">
        <f t="shared" si="11"/>
        <v>1.856568</v>
      </c>
      <c r="J148"/>
      <c r="K148"/>
      <c r="L148"/>
    </row>
    <row r="149" spans="1:12" x14ac:dyDescent="0.25">
      <c r="A149" s="7">
        <f t="shared" si="12"/>
        <v>5.7999999999999901</v>
      </c>
      <c r="B149" s="8">
        <f t="shared" si="10"/>
        <v>0.90300000000000002</v>
      </c>
      <c r="C149" s="8">
        <f t="shared" si="13"/>
        <v>2.056</v>
      </c>
      <c r="D149" s="9">
        <f t="shared" si="11"/>
        <v>1.856568</v>
      </c>
      <c r="J149"/>
      <c r="K149"/>
      <c r="L149"/>
    </row>
    <row r="150" spans="1:12" x14ac:dyDescent="0.25">
      <c r="A150" s="7">
        <f t="shared" si="12"/>
        <v>5.8499999999999899</v>
      </c>
      <c r="B150" s="8">
        <f t="shared" si="10"/>
        <v>0.90300000000000002</v>
      </c>
      <c r="C150" s="8">
        <f t="shared" si="13"/>
        <v>2.056</v>
      </c>
      <c r="D150" s="9">
        <f t="shared" si="11"/>
        <v>1.856568</v>
      </c>
      <c r="J150"/>
      <c r="K150"/>
      <c r="L150"/>
    </row>
    <row r="151" spans="1:12" x14ac:dyDescent="0.25">
      <c r="A151" s="7">
        <f t="shared" si="12"/>
        <v>5.8999999999999897</v>
      </c>
      <c r="B151" s="8">
        <f t="shared" si="10"/>
        <v>0.90300000000000002</v>
      </c>
      <c r="C151" s="8">
        <f t="shared" si="13"/>
        <v>2.056</v>
      </c>
      <c r="D151" s="9">
        <f t="shared" si="11"/>
        <v>1.856568</v>
      </c>
      <c r="J151"/>
      <c r="K151"/>
      <c r="L151"/>
    </row>
    <row r="152" spans="1:12" x14ac:dyDescent="0.25">
      <c r="A152" s="7">
        <f t="shared" si="12"/>
        <v>5.9499999999999904</v>
      </c>
      <c r="B152" s="8">
        <f t="shared" si="10"/>
        <v>0.90300000000000002</v>
      </c>
      <c r="C152" s="8">
        <f t="shared" si="13"/>
        <v>2.056</v>
      </c>
      <c r="D152" s="9">
        <f t="shared" si="11"/>
        <v>1.856568</v>
      </c>
      <c r="J152"/>
      <c r="K152"/>
      <c r="L152"/>
    </row>
    <row r="153" spans="1:12" x14ac:dyDescent="0.25">
      <c r="A153" s="7">
        <f t="shared" si="12"/>
        <v>5.9999999999999902</v>
      </c>
      <c r="B153" s="8">
        <f t="shared" si="10"/>
        <v>0.90300000000000002</v>
      </c>
      <c r="C153" s="8">
        <f t="shared" si="13"/>
        <v>2.056</v>
      </c>
      <c r="D153" s="9">
        <f t="shared" si="11"/>
        <v>1.856568</v>
      </c>
      <c r="J153"/>
      <c r="K153"/>
      <c r="L153"/>
    </row>
    <row r="154" spans="1:12" x14ac:dyDescent="0.25">
      <c r="A154" s="7">
        <f t="shared" si="12"/>
        <v>6.0499999999999901</v>
      </c>
      <c r="B154" s="8">
        <f t="shared" si="10"/>
        <v>0.90300000000000002</v>
      </c>
      <c r="C154" s="8">
        <f t="shared" si="13"/>
        <v>2.056</v>
      </c>
      <c r="D154" s="9">
        <f t="shared" si="11"/>
        <v>1.856568</v>
      </c>
      <c r="J154"/>
      <c r="K154"/>
      <c r="L154"/>
    </row>
    <row r="155" spans="1:12" x14ac:dyDescent="0.25">
      <c r="A155" s="7">
        <f t="shared" si="12"/>
        <v>6.0999999999999899</v>
      </c>
      <c r="B155" s="8">
        <f t="shared" si="10"/>
        <v>0.90300000000000002</v>
      </c>
      <c r="C155" s="8">
        <f t="shared" si="13"/>
        <v>2.056</v>
      </c>
      <c r="D155" s="9">
        <f t="shared" si="11"/>
        <v>1.856568</v>
      </c>
      <c r="J155"/>
      <c r="K155"/>
      <c r="L155"/>
    </row>
    <row r="156" spans="1:12" x14ac:dyDescent="0.25">
      <c r="A156" s="7">
        <f t="shared" si="12"/>
        <v>6.1499999999999897</v>
      </c>
      <c r="B156" s="8">
        <f t="shared" si="10"/>
        <v>0.90300000000000002</v>
      </c>
      <c r="C156" s="8">
        <f t="shared" si="13"/>
        <v>2.056</v>
      </c>
      <c r="D156" s="9">
        <f t="shared" si="11"/>
        <v>1.856568</v>
      </c>
      <c r="J156"/>
      <c r="K156"/>
      <c r="L156"/>
    </row>
    <row r="157" spans="1:12" x14ac:dyDescent="0.25">
      <c r="A157" s="7">
        <f t="shared" si="12"/>
        <v>6.1999999999999904</v>
      </c>
      <c r="B157" s="8">
        <f t="shared" si="10"/>
        <v>0.90300000000000002</v>
      </c>
      <c r="C157" s="8">
        <f t="shared" si="13"/>
        <v>2.056</v>
      </c>
      <c r="D157" s="9">
        <f t="shared" si="11"/>
        <v>1.856568</v>
      </c>
      <c r="J157"/>
      <c r="K157"/>
      <c r="L157"/>
    </row>
    <row r="158" spans="1:12" x14ac:dyDescent="0.25">
      <c r="A158" s="7">
        <f t="shared" si="12"/>
        <v>6.2499999999999902</v>
      </c>
      <c r="B158" s="8">
        <f t="shared" si="10"/>
        <v>0.90300000000000002</v>
      </c>
      <c r="C158" s="8">
        <f t="shared" si="13"/>
        <v>2.056</v>
      </c>
      <c r="D158" s="9">
        <f t="shared" si="11"/>
        <v>1.856568</v>
      </c>
      <c r="J158"/>
      <c r="K158"/>
      <c r="L158"/>
    </row>
    <row r="159" spans="1:12" x14ac:dyDescent="0.25">
      <c r="A159" s="7">
        <f t="shared" si="12"/>
        <v>6.2999999999999901</v>
      </c>
      <c r="B159" s="8">
        <f t="shared" si="10"/>
        <v>0.90300000000000002</v>
      </c>
      <c r="C159" s="8">
        <f t="shared" si="13"/>
        <v>2.056</v>
      </c>
      <c r="D159" s="9">
        <f t="shared" si="11"/>
        <v>1.856568</v>
      </c>
      <c r="J159"/>
      <c r="K159"/>
      <c r="L159"/>
    </row>
    <row r="160" spans="1:12" x14ac:dyDescent="0.25">
      <c r="A160" s="7">
        <f t="shared" si="12"/>
        <v>6.3499999999999899</v>
      </c>
      <c r="B160" s="8">
        <f t="shared" si="10"/>
        <v>0.90300000000000002</v>
      </c>
      <c r="C160" s="8">
        <f t="shared" si="13"/>
        <v>2.056</v>
      </c>
      <c r="D160" s="9">
        <f t="shared" si="11"/>
        <v>1.856568</v>
      </c>
      <c r="J160"/>
      <c r="K160"/>
      <c r="L160"/>
    </row>
    <row r="161" spans="1:12" x14ac:dyDescent="0.25">
      <c r="A161" s="7">
        <f t="shared" si="12"/>
        <v>6.3999999999999897</v>
      </c>
      <c r="B161" s="8">
        <f t="shared" si="10"/>
        <v>0.90300000000000002</v>
      </c>
      <c r="C161" s="8">
        <f t="shared" si="13"/>
        <v>2.056</v>
      </c>
      <c r="D161" s="9">
        <f t="shared" si="11"/>
        <v>1.856568</v>
      </c>
      <c r="J161"/>
      <c r="K161"/>
      <c r="L161"/>
    </row>
    <row r="162" spans="1:12" x14ac:dyDescent="0.25">
      <c r="A162" s="7">
        <f t="shared" si="12"/>
        <v>6.4499999999999904</v>
      </c>
      <c r="B162" s="8">
        <f t="shared" ref="B162:B174" si="14">IF(A162&lt;2,(0.064),IF(A162&lt;3,(0.139*A162-0.214),IF(A162&lt;5.5,(0.279*A162-0.632),IF(A162&lt;7,0.903,"VCOMP MUST BE &lt; 7"))))</f>
        <v>0.90300000000000002</v>
      </c>
      <c r="C162" s="8">
        <f t="shared" si="13"/>
        <v>2.056</v>
      </c>
      <c r="D162" s="9">
        <f t="shared" ref="D162:D173" si="15">B162*C162</f>
        <v>1.856568</v>
      </c>
      <c r="J162"/>
      <c r="K162"/>
      <c r="L162"/>
    </row>
    <row r="163" spans="1:12" x14ac:dyDescent="0.25">
      <c r="A163" s="7">
        <f t="shared" si="12"/>
        <v>6.4999999999999796</v>
      </c>
      <c r="B163" s="8">
        <f t="shared" si="14"/>
        <v>0.90300000000000002</v>
      </c>
      <c r="C163" s="8">
        <f t="shared" si="13"/>
        <v>2.056</v>
      </c>
      <c r="D163" s="9">
        <f t="shared" si="15"/>
        <v>1.856568</v>
      </c>
      <c r="J163"/>
      <c r="K163"/>
      <c r="L163"/>
    </row>
    <row r="164" spans="1:12" x14ac:dyDescent="0.25">
      <c r="A164" s="7">
        <f t="shared" si="12"/>
        <v>6.5499999999999803</v>
      </c>
      <c r="B164" s="8">
        <f t="shared" si="14"/>
        <v>0.90300000000000002</v>
      </c>
      <c r="C164" s="8">
        <f t="shared" si="13"/>
        <v>2.056</v>
      </c>
      <c r="D164" s="9">
        <f t="shared" si="15"/>
        <v>1.856568</v>
      </c>
      <c r="J164"/>
      <c r="K164"/>
      <c r="L164"/>
    </row>
    <row r="165" spans="1:12" x14ac:dyDescent="0.25">
      <c r="A165" s="7">
        <f t="shared" si="12"/>
        <v>6.5999999999999801</v>
      </c>
      <c r="B165" s="8">
        <f t="shared" si="14"/>
        <v>0.90300000000000002</v>
      </c>
      <c r="C165" s="8">
        <f t="shared" si="13"/>
        <v>2.056</v>
      </c>
      <c r="D165" s="9">
        <f t="shared" si="15"/>
        <v>1.856568</v>
      </c>
      <c r="J165"/>
      <c r="K165"/>
      <c r="L165"/>
    </row>
    <row r="166" spans="1:12" x14ac:dyDescent="0.25">
      <c r="A166" s="7">
        <f t="shared" si="12"/>
        <v>6.6499999999999799</v>
      </c>
      <c r="B166" s="8">
        <f t="shared" si="14"/>
        <v>0.90300000000000002</v>
      </c>
      <c r="C166" s="8">
        <f t="shared" si="13"/>
        <v>2.056</v>
      </c>
      <c r="D166" s="9">
        <f t="shared" si="15"/>
        <v>1.856568</v>
      </c>
      <c r="J166"/>
      <c r="K166"/>
      <c r="L166"/>
    </row>
    <row r="167" spans="1:12" x14ac:dyDescent="0.25">
      <c r="A167" s="7">
        <f t="shared" si="12"/>
        <v>6.6999999999999797</v>
      </c>
      <c r="B167" s="8">
        <f t="shared" si="14"/>
        <v>0.90300000000000002</v>
      </c>
      <c r="C167" s="8">
        <f t="shared" si="13"/>
        <v>2.056</v>
      </c>
      <c r="D167" s="9">
        <f t="shared" si="15"/>
        <v>1.856568</v>
      </c>
      <c r="J167"/>
      <c r="K167"/>
      <c r="L167"/>
    </row>
    <row r="168" spans="1:12" x14ac:dyDescent="0.25">
      <c r="A168" s="7">
        <f t="shared" si="12"/>
        <v>6.7499999999999796</v>
      </c>
      <c r="B168" s="8">
        <f t="shared" si="14"/>
        <v>0.90300000000000002</v>
      </c>
      <c r="C168" s="8">
        <f t="shared" si="13"/>
        <v>2.056</v>
      </c>
      <c r="D168" s="9">
        <f t="shared" si="15"/>
        <v>1.856568</v>
      </c>
      <c r="J168"/>
      <c r="K168"/>
      <c r="L168"/>
    </row>
    <row r="169" spans="1:12" x14ac:dyDescent="0.25">
      <c r="A169" s="7">
        <f t="shared" si="12"/>
        <v>6.7999999999999803</v>
      </c>
      <c r="B169" s="8">
        <f t="shared" si="14"/>
        <v>0.90300000000000002</v>
      </c>
      <c r="C169" s="8">
        <f t="shared" si="13"/>
        <v>2.056</v>
      </c>
      <c r="D169" s="9">
        <f t="shared" si="15"/>
        <v>1.856568</v>
      </c>
      <c r="J169"/>
      <c r="K169"/>
      <c r="L169"/>
    </row>
    <row r="170" spans="1:12" x14ac:dyDescent="0.25">
      <c r="A170" s="7">
        <f t="shared" si="12"/>
        <v>6.8499999999999801</v>
      </c>
      <c r="B170" s="8">
        <f t="shared" si="14"/>
        <v>0.90300000000000002</v>
      </c>
      <c r="C170" s="8">
        <f t="shared" si="13"/>
        <v>2.056</v>
      </c>
      <c r="D170" s="9">
        <f t="shared" si="15"/>
        <v>1.856568</v>
      </c>
      <c r="J170"/>
      <c r="K170"/>
      <c r="L170"/>
    </row>
    <row r="171" spans="1:12" x14ac:dyDescent="0.25">
      <c r="A171" s="7">
        <f t="shared" si="12"/>
        <v>6.8999999999999799</v>
      </c>
      <c r="B171" s="8">
        <f t="shared" si="14"/>
        <v>0.90300000000000002</v>
      </c>
      <c r="C171" s="8">
        <f t="shared" si="13"/>
        <v>2.056</v>
      </c>
      <c r="D171" s="9">
        <f t="shared" si="15"/>
        <v>1.856568</v>
      </c>
      <c r="J171"/>
      <c r="K171"/>
      <c r="L171"/>
    </row>
    <row r="172" spans="1:12" x14ac:dyDescent="0.25">
      <c r="A172" s="7">
        <f t="shared" si="12"/>
        <v>6.9499999999999797</v>
      </c>
      <c r="B172" s="8">
        <f t="shared" si="14"/>
        <v>0.90300000000000002</v>
      </c>
      <c r="C172" s="8">
        <f t="shared" si="13"/>
        <v>2.056</v>
      </c>
      <c r="D172" s="9">
        <f t="shared" si="15"/>
        <v>1.856568</v>
      </c>
      <c r="J172"/>
      <c r="K172"/>
      <c r="L172"/>
    </row>
    <row r="173" spans="1:12" x14ac:dyDescent="0.25">
      <c r="A173" s="7">
        <f t="shared" si="12"/>
        <v>6.9999999999999796</v>
      </c>
      <c r="B173" s="8">
        <f t="shared" si="14"/>
        <v>0.90300000000000002</v>
      </c>
      <c r="C173" s="8">
        <f t="shared" si="13"/>
        <v>2.056</v>
      </c>
      <c r="D173" s="9">
        <f t="shared" si="15"/>
        <v>1.856568</v>
      </c>
      <c r="J173"/>
      <c r="K173"/>
      <c r="L173"/>
    </row>
    <row r="174" spans="1:12" x14ac:dyDescent="0.25">
      <c r="A174" s="7">
        <f t="shared" si="12"/>
        <v>7.0499999999999803</v>
      </c>
      <c r="B174" s="8" t="str">
        <f t="shared" si="14"/>
        <v>VCOMP MUST BE &lt; 7</v>
      </c>
      <c r="C174" s="8" t="str">
        <f t="shared" si="13"/>
        <v>VCOMP MUST BE &lt; 7</v>
      </c>
      <c r="D174" s="7"/>
      <c r="J174"/>
      <c r="K174"/>
      <c r="L174"/>
    </row>
    <row r="175" spans="1:12" x14ac:dyDescent="0.25">
      <c r="A175" s="7"/>
      <c r="B175" s="8"/>
      <c r="C175" s="8"/>
      <c r="D175" s="7"/>
      <c r="J175"/>
      <c r="K175"/>
      <c r="L175"/>
    </row>
    <row r="176" spans="1:12" x14ac:dyDescent="0.25">
      <c r="A176" s="7"/>
      <c r="B176" s="8"/>
      <c r="C176" s="8"/>
      <c r="D176" s="7"/>
    </row>
    <row r="177" spans="1:4" x14ac:dyDescent="0.25">
      <c r="A177" s="7"/>
      <c r="B177" s="8"/>
      <c r="C177" s="8"/>
      <c r="D177" s="7"/>
    </row>
    <row r="178" spans="1:4" x14ac:dyDescent="0.25">
      <c r="A178" s="7"/>
      <c r="B178" s="8"/>
      <c r="C178" s="8"/>
      <c r="D178" s="7"/>
    </row>
    <row r="179" spans="1:4" x14ac:dyDescent="0.25">
      <c r="A179" s="7"/>
      <c r="B179" s="8"/>
      <c r="C179" s="8"/>
      <c r="D179" s="7"/>
    </row>
    <row r="180" spans="1:4" x14ac:dyDescent="0.25">
      <c r="A180" s="7"/>
      <c r="B180" s="8"/>
      <c r="C180" s="8"/>
      <c r="D180" s="7"/>
    </row>
    <row r="181" spans="1:4" x14ac:dyDescent="0.25">
      <c r="A181" s="7"/>
      <c r="B181" s="8"/>
      <c r="C181" s="8"/>
      <c r="D181" s="7"/>
    </row>
    <row r="182" spans="1:4" x14ac:dyDescent="0.25">
      <c r="A182" s="7"/>
      <c r="B182" s="8"/>
      <c r="C182" s="8"/>
      <c r="D182" s="7"/>
    </row>
    <row r="183" spans="1:4" x14ac:dyDescent="0.25">
      <c r="A183" s="7"/>
      <c r="B183" s="8"/>
      <c r="C183" s="8"/>
      <c r="D183" s="7"/>
    </row>
    <row r="184" spans="1:4" x14ac:dyDescent="0.25">
      <c r="A184" s="7"/>
      <c r="B184" s="8"/>
      <c r="C184" s="8"/>
      <c r="D184" s="7"/>
    </row>
    <row r="185" spans="1:4" x14ac:dyDescent="0.25">
      <c r="A185" s="7"/>
      <c r="B185" s="8"/>
      <c r="C185" s="8"/>
      <c r="D185" s="7"/>
    </row>
    <row r="186" spans="1:4" x14ac:dyDescent="0.25">
      <c r="A186" s="7"/>
      <c r="B186" s="8"/>
      <c r="C186" s="8"/>
      <c r="D186" s="7"/>
    </row>
    <row r="187" spans="1:4" x14ac:dyDescent="0.25">
      <c r="A187" s="7"/>
      <c r="B187" s="8"/>
      <c r="C187" s="8"/>
      <c r="D187" s="7"/>
    </row>
    <row r="188" spans="1:4" x14ac:dyDescent="0.25">
      <c r="A188" s="7"/>
      <c r="B188" s="8"/>
      <c r="C188" s="8"/>
      <c r="D188" s="7"/>
    </row>
    <row r="189" spans="1:4" x14ac:dyDescent="0.25">
      <c r="A189" s="7"/>
      <c r="B189" s="8"/>
      <c r="C189" s="8"/>
      <c r="D189" s="7"/>
    </row>
    <row r="190" spans="1:4" x14ac:dyDescent="0.25">
      <c r="A190" s="7"/>
      <c r="B190" s="8"/>
      <c r="C190" s="8"/>
      <c r="D190" s="7"/>
    </row>
    <row r="191" spans="1:4" x14ac:dyDescent="0.25">
      <c r="A191" s="7"/>
      <c r="B191" s="8"/>
      <c r="C191" s="8"/>
      <c r="D191" s="7"/>
    </row>
    <row r="192" spans="1:4" x14ac:dyDescent="0.25">
      <c r="A192" s="7"/>
      <c r="B192" s="8"/>
      <c r="C192" s="8"/>
      <c r="D192" s="7"/>
    </row>
    <row r="193" spans="1:25" x14ac:dyDescent="0.25">
      <c r="A193" s="7"/>
      <c r="B193" s="8"/>
      <c r="C193" s="8"/>
      <c r="D193" s="7"/>
    </row>
    <row r="194" spans="1:25" x14ac:dyDescent="0.25">
      <c r="A194" s="7"/>
      <c r="B194" s="8"/>
      <c r="C194" s="8"/>
      <c r="D194" s="7"/>
    </row>
    <row r="195" spans="1:25" x14ac:dyDescent="0.25">
      <c r="A195" s="7"/>
      <c r="B195" s="8"/>
      <c r="C195" s="8"/>
      <c r="D195" s="7"/>
    </row>
    <row r="196" spans="1:25" x14ac:dyDescent="0.25">
      <c r="A196" s="7"/>
      <c r="B196" s="8"/>
      <c r="C196" s="8"/>
      <c r="D196" s="7"/>
    </row>
    <row r="197" spans="1:25" x14ac:dyDescent="0.25">
      <c r="A197" s="7"/>
      <c r="B197" s="8"/>
      <c r="C197" s="8"/>
      <c r="D197" s="7"/>
    </row>
    <row r="198" spans="1:25" x14ac:dyDescent="0.25">
      <c r="A198" s="7"/>
      <c r="B198" s="8"/>
      <c r="C198" s="8"/>
      <c r="D198" s="7"/>
    </row>
    <row r="201" spans="1:25" x14ac:dyDescent="0.25">
      <c r="A201" s="196" t="s">
        <v>468</v>
      </c>
      <c r="B201" s="196"/>
      <c r="C201" s="196"/>
      <c r="D201" s="196"/>
      <c r="E201" s="196"/>
      <c r="F201" s="196"/>
      <c r="G201" s="196" t="s">
        <v>469</v>
      </c>
      <c r="H201" s="196"/>
      <c r="I201" s="196"/>
      <c r="J201" s="196"/>
      <c r="K201" s="196"/>
      <c r="L201" s="196"/>
      <c r="M201" s="196"/>
      <c r="N201" s="196"/>
      <c r="O201" s="196"/>
      <c r="P201" s="1" t="s">
        <v>470</v>
      </c>
    </row>
    <row r="202" spans="1:25" x14ac:dyDescent="0.25">
      <c r="A202" s="198" t="s">
        <v>471</v>
      </c>
      <c r="G202" s="198" t="s">
        <v>471</v>
      </c>
      <c r="J202" s="7"/>
      <c r="K202" s="7"/>
      <c r="L202" s="7"/>
      <c r="O202" s="198" t="s">
        <v>472</v>
      </c>
      <c r="P202" s="196" t="s">
        <v>473</v>
      </c>
      <c r="Q202" s="196"/>
      <c r="R202" s="196" t="s">
        <v>474</v>
      </c>
      <c r="S202" s="196"/>
      <c r="T202" s="196"/>
    </row>
    <row r="203" spans="1:25" x14ac:dyDescent="0.25">
      <c r="A203" s="198"/>
      <c r="B203" s="1" t="s">
        <v>475</v>
      </c>
      <c r="C203" s="15" t="s">
        <v>476</v>
      </c>
      <c r="D203" s="196" t="s">
        <v>477</v>
      </c>
      <c r="E203" s="196"/>
      <c r="F203" s="1" t="s">
        <v>478</v>
      </c>
      <c r="G203" s="198"/>
      <c r="H203" s="1" t="s">
        <v>475</v>
      </c>
      <c r="I203" s="15" t="s">
        <v>476</v>
      </c>
      <c r="J203" s="1" t="s">
        <v>479</v>
      </c>
      <c r="K203" s="196" t="s">
        <v>480</v>
      </c>
      <c r="L203" s="196"/>
      <c r="M203" s="197" t="s">
        <v>481</v>
      </c>
      <c r="N203" s="197"/>
      <c r="O203" s="198"/>
      <c r="Q203" s="1" t="s">
        <v>276</v>
      </c>
      <c r="S203" s="1" t="s">
        <v>276</v>
      </c>
      <c r="T203" s="1" t="s">
        <v>482</v>
      </c>
    </row>
    <row r="204" spans="1:25" x14ac:dyDescent="0.25">
      <c r="A204" s="198"/>
      <c r="B204" s="1" t="s">
        <v>48</v>
      </c>
      <c r="C204" s="1" t="s">
        <v>483</v>
      </c>
      <c r="E204" s="1" t="s">
        <v>276</v>
      </c>
      <c r="F204" s="1" t="s">
        <v>484</v>
      </c>
      <c r="G204" s="198"/>
      <c r="H204" s="1" t="s">
        <v>48</v>
      </c>
      <c r="I204" s="1" t="s">
        <v>483</v>
      </c>
      <c r="J204" s="1" t="s">
        <v>485</v>
      </c>
      <c r="L204" s="17" t="s">
        <v>276</v>
      </c>
      <c r="N204" s="1" t="s">
        <v>276</v>
      </c>
      <c r="O204" s="1" t="s">
        <v>484</v>
      </c>
      <c r="W204" s="1" t="s">
        <v>486</v>
      </c>
      <c r="X204" s="1" t="s">
        <v>487</v>
      </c>
      <c r="Y204" s="1" t="s">
        <v>488</v>
      </c>
    </row>
    <row r="205" spans="1:25" x14ac:dyDescent="0.25">
      <c r="A205" s="1">
        <v>1</v>
      </c>
      <c r="B205" s="1">
        <f>10^A205</f>
        <v>10</v>
      </c>
      <c r="C205" s="1">
        <f t="shared" ref="C205:C236" si="16">2*PI()*B205</f>
        <v>62.831853071795898</v>
      </c>
      <c r="D205" s="1" t="str">
        <f t="shared" ref="D205:D236" si="17">IMDIV((7*Rsense*Vout_nom)/((1/(fsw/kHz)*kHz)*M1M2_calc*Lbst*mH),IMPRODUCT((COMPLEX(0,C205*1)),COMPLEX(1,(C205/(2*PI()*f_iavgactual*kHz)))))</f>
        <v>-0.553564702340793-446.282303965621i</v>
      </c>
      <c r="E205" s="1">
        <f t="shared" ref="E205:E236" si="18">20*LOG(IMABS(D205))</f>
        <v>52.992200011721984</v>
      </c>
      <c r="F205" s="1">
        <f t="shared" ref="F205:F236" si="19">180/PI()*IMARGUMENT(D205)</f>
        <v>-90.071069151932491</v>
      </c>
      <c r="G205" s="1">
        <v>-2</v>
      </c>
      <c r="H205" s="16">
        <f>10^G205</f>
        <v>0.01</v>
      </c>
      <c r="I205" s="16">
        <f>2*PI()*H205</f>
        <v>6.2831853071795896E-2</v>
      </c>
      <c r="J205" s="16">
        <f>(CALCULATIONS!$C$127*10^3)/((CALCULATIONS!$C$123*10^6)+(CALCULATIONS!$C$127*10^3))</f>
        <v>6.1032863849765258E-2</v>
      </c>
      <c r="K205" s="16" t="str">
        <f t="shared" ref="K205:K236" si="20">IMDIV((M_3*Vout_nom)/(M1M2_calc),COMPLEX(1,(I205/(2*PI()*fPWM_PSpole))))</f>
        <v>222.088452035599-2.09519329994059i</v>
      </c>
      <c r="L205" s="1">
        <f t="shared" ref="L205:L236" si="21">20*LOG(IMABS(K205))</f>
        <v>46.930906051725032</v>
      </c>
      <c r="M205" s="1" t="str">
        <f t="shared" ref="M205:M253" si="22">IMPRODUCT(J205,K205)</f>
        <v>13.5546942556938-0.127875647414214i</v>
      </c>
      <c r="N205" s="1">
        <f t="shared" ref="N205:N236" si="23">20*LOG(IMABS(M205))</f>
        <v>22.642181029086984</v>
      </c>
      <c r="O205" s="1">
        <f t="shared" ref="O205:O236" si="24">180/PI()*IMARGUMENT(M205)</f>
        <v>-0.54051514625238883</v>
      </c>
      <c r="P205" s="1" t="str">
        <f>IMPRODUCT(42*10^-6,IMDIV((COMPLEX(1,I205*(CALCULATIONS!C267*10^3)*(CALCULATIONS!C265*10^-6))),IMPRODUCT((COMPLEX(0,data!I205*((CALCULATIONS!C265*10^-6)+(CALCULATIONS!C271*10^-6)))),(COMPLEX(1,I205*((CALCULATIONS!C267*10^3)*(CALCULATIONS!C265*10^-6)*(CALCULATIONS!C271*10^-6))/((CALCULATIONS!C265*10^-6)+(CALCULATIONS!C271*10^-6)))))))</f>
        <v>1.31537585912846-150.552629907625i</v>
      </c>
      <c r="Q205" s="1">
        <f t="shared" ref="Q205:Q236" si="25">20*LOG(IMABS(P205))</f>
        <v>43.55409843208286</v>
      </c>
      <c r="R205" s="1" t="str">
        <f t="shared" ref="R205:R265" si="26">IMPRODUCT((M205),(P205))</f>
        <v>-1.42249741754327-2040.86307232806i</v>
      </c>
      <c r="S205" s="1">
        <f t="shared" ref="S205:S236" si="27">20*LOG(IMABS(R205))</f>
        <v>66.196279461169865</v>
      </c>
      <c r="T205" s="1">
        <f t="shared" ref="T205:T236" si="28">(180/PI()*IMARGUMENT(R205))+180</f>
        <v>89.960064402996963</v>
      </c>
      <c r="W205" s="1" t="str">
        <f>COMPLEX(1,I205*(CALCULATIONS!C267*10^3)*(CALCULATIONS!C265*10^-6))</f>
        <v>1+0.009236282401554i</v>
      </c>
      <c r="X205" s="1" t="str">
        <f>COMPLEX(0,data!I205*((CALCULATIONS!C265*10^-6)+(CALCULATIONS!C271*10^-6)))</f>
        <v>2.78973427638774E-07i</v>
      </c>
      <c r="Y205" s="1" t="str">
        <f>COMPLEX(1,I205*((CALCULATIONS!C267*10^3)*(CALCULATIONS!C265*10^-6)*(CALCULATIONS!C271*10^-6))/((CALCULATIONS!C265*10^-6)+(CALCULATIONS!C271*10^-6)))</f>
        <v>1+0.000499258508192108i</v>
      </c>
    </row>
    <row r="206" spans="1:25" x14ac:dyDescent="0.25">
      <c r="A206" s="1">
        <v>1.1000000000000001</v>
      </c>
      <c r="B206" s="1">
        <f t="shared" ref="B206:B265" si="29">10^A206</f>
        <v>12.589254117941699</v>
      </c>
      <c r="C206" s="1">
        <f t="shared" si="16"/>
        <v>79.100616502201206</v>
      </c>
      <c r="D206" s="1" t="str">
        <f t="shared" si="17"/>
        <v>-0.553564204189401-354.494315688929i</v>
      </c>
      <c r="E206" s="1">
        <f t="shared" si="18"/>
        <v>50.99219610351588</v>
      </c>
      <c r="F206" s="1">
        <f t="shared" si="19"/>
        <v>-90.089470734524298</v>
      </c>
      <c r="G206" s="1">
        <v>-1.9</v>
      </c>
      <c r="H206" s="16">
        <f t="shared" ref="H206:H265" si="30">10^G206</f>
        <v>1.2589254117941699E-2</v>
      </c>
      <c r="I206" s="16">
        <f t="shared" ref="I206:I265" si="31">2*PI()*H206</f>
        <v>7.9100616502201196E-2</v>
      </c>
      <c r="J206" s="16">
        <f>(CALCULATIONS!$C$127*10^3)/((CALCULATIONS!$C$123*10^6)+(CALCULATIONS!$C$127*10^3))</f>
        <v>6.1032863849765258E-2</v>
      </c>
      <c r="K206" s="16" t="str">
        <f t="shared" si="20"/>
        <v>222.076892576127-2.63755479894625i</v>
      </c>
      <c r="L206" s="1">
        <f t="shared" si="21"/>
        <v>46.930680000344637</v>
      </c>
      <c r="M206" s="1" t="str">
        <f t="shared" si="22"/>
        <v>13.5539887487777-0.160977522940381i</v>
      </c>
      <c r="N206" s="1">
        <f t="shared" si="23"/>
        <v>22.641954977706614</v>
      </c>
      <c r="O206" s="1">
        <f t="shared" si="24"/>
        <v>-0.68045644681635176</v>
      </c>
      <c r="P206" s="1" t="str">
        <f>IMPRODUCT(42*10^-6,IMDIV((COMPLEX(1,I206*(CALCULATIONS!C267*10^3)*(CALCULATIONS!C265*10^-6))),IMPRODUCT((COMPLEX(0,data!I206*((CALCULATIONS!C265*10^-6)+(CALCULATIONS!C271*10^-6)))),(COMPLEX(1,I206*((CALCULATIONS!C267*10^3)*(CALCULATIONS!C265*10^-6)*(CALCULATIONS!C271*10^-6))/((CALCULATIONS!C265*10^-6)+(CALCULATIONS!C271*10^-6)))))))</f>
        <v>1.31537566735999-119.588509854317i</v>
      </c>
      <c r="Q206" s="1">
        <f t="shared" si="25"/>
        <v>41.554314473225816</v>
      </c>
      <c r="R206" s="1" t="str">
        <f t="shared" si="26"/>
        <v>-1.42247509266603-1621.11306296517i</v>
      </c>
      <c r="S206" s="1">
        <f t="shared" si="27"/>
        <v>64.196269450932434</v>
      </c>
      <c r="T206" s="1">
        <f t="shared" si="28"/>
        <v>89.94972479081396</v>
      </c>
    </row>
    <row r="207" spans="1:25" x14ac:dyDescent="0.25">
      <c r="A207" s="1">
        <v>1.2</v>
      </c>
      <c r="B207" s="1">
        <f t="shared" si="29"/>
        <v>15.848931924611099</v>
      </c>
      <c r="C207" s="1">
        <f t="shared" si="16"/>
        <v>99.581776203206104</v>
      </c>
      <c r="D207" s="1" t="str">
        <f t="shared" si="17"/>
        <v>-0.553563414674498-281.584442393668i</v>
      </c>
      <c r="E207" s="1">
        <f t="shared" si="18"/>
        <v>48.992189909433804</v>
      </c>
      <c r="F207" s="1">
        <f t="shared" si="19"/>
        <v>-90.112636927755389</v>
      </c>
      <c r="G207" s="1">
        <v>-1.8</v>
      </c>
      <c r="H207" s="16">
        <f t="shared" si="30"/>
        <v>1.58489319246111E-2</v>
      </c>
      <c r="I207" s="16">
        <f t="shared" si="31"/>
        <v>9.9581776203206199E-2</v>
      </c>
      <c r="J207" s="16">
        <f>(CALCULATIONS!$C$127*10^3)/((CALCULATIONS!$C$123*10^6)+(CALCULATIONS!$C$127*10^3))</f>
        <v>6.1032863849765258E-2</v>
      </c>
      <c r="K207" s="16" t="str">
        <f t="shared" si="20"/>
        <v>222.058574532155-3.32021087073676i</v>
      </c>
      <c r="L207" s="1">
        <f t="shared" si="21"/>
        <v>46.930321757150395</v>
      </c>
      <c r="M207" s="1" t="str">
        <f t="shared" si="22"/>
        <v>13.552870746094-0.202641978026187i</v>
      </c>
      <c r="N207" s="1">
        <f t="shared" si="23"/>
        <v>22.641596734512394</v>
      </c>
      <c r="O207" s="1">
        <f t="shared" si="24"/>
        <v>-0.85662035783129387</v>
      </c>
      <c r="P207" s="1" t="str">
        <f>IMPRODUCT(42*10^-6,IMDIV((COMPLEX(1,I207*(CALCULATIONS!C267*10^3)*(CALCULATIONS!C265*10^-6))),IMPRODUCT((COMPLEX(0,data!I207*((CALCULATIONS!C265*10^-6)+(CALCULATIONS!C271*10^-6)))),(COMPLEX(1,I207*((CALCULATIONS!C267*10^3)*(CALCULATIONS!C265*10^-6)*(CALCULATIONS!C271*10^-6))/((CALCULATIONS!C265*10^-6)+(CALCULATIONS!C271*10^-6)))))))</f>
        <v>1.31537536342755-94.9929140323128i</v>
      </c>
      <c r="Q207" s="1">
        <f t="shared" si="25"/>
        <v>39.554656853220855</v>
      </c>
      <c r="R207" s="1" t="str">
        <f t="shared" si="26"/>
        <v>-1.42243971484939-1287.69323594025i</v>
      </c>
      <c r="S207" s="1">
        <f t="shared" si="27"/>
        <v>62.196253587733274</v>
      </c>
      <c r="T207" s="1">
        <f t="shared" si="28"/>
        <v>89.936708715361405</v>
      </c>
    </row>
    <row r="208" spans="1:25" x14ac:dyDescent="0.25">
      <c r="A208" s="1">
        <v>1.3</v>
      </c>
      <c r="B208" s="1">
        <f t="shared" si="29"/>
        <v>19.952623149688801</v>
      </c>
      <c r="C208" s="1">
        <f t="shared" si="16"/>
        <v>125.366028613816</v>
      </c>
      <c r="D208" s="1" t="str">
        <f t="shared" si="17"/>
        <v>-0.55356216338231-223.669967460597i</v>
      </c>
      <c r="E208" s="1">
        <f t="shared" si="18"/>
        <v>46.992180092493356</v>
      </c>
      <c r="F208" s="1">
        <f t="shared" si="19"/>
        <v>-90.141801383813345</v>
      </c>
      <c r="G208" s="1">
        <v>-1.7</v>
      </c>
      <c r="H208" s="16">
        <f t="shared" si="30"/>
        <v>1.9952623149688799E-2</v>
      </c>
      <c r="I208" s="16">
        <f t="shared" si="31"/>
        <v>0.12536602861381599</v>
      </c>
      <c r="J208" s="16">
        <f>(CALCULATIONS!$C$127*10^3)/((CALCULATIONS!$C$123*10^6)+(CALCULATIONS!$C$127*10^3))</f>
        <v>6.1032863849765258E-2</v>
      </c>
      <c r="K208" s="16" t="str">
        <f t="shared" si="20"/>
        <v>222.029548578251-4.17935147048415i</v>
      </c>
      <c r="L208" s="1">
        <f t="shared" si="21"/>
        <v>46.929754040475501</v>
      </c>
      <c r="M208" s="1" t="str">
        <f t="shared" si="22"/>
        <v>13.5510992090012-0.255077789278375i</v>
      </c>
      <c r="N208" s="1">
        <f t="shared" si="23"/>
        <v>22.641029017837457</v>
      </c>
      <c r="O208" s="1">
        <f t="shared" si="24"/>
        <v>-1.0783741449707103</v>
      </c>
      <c r="P208" s="1" t="str">
        <f>IMPRODUCT(42*10^-6,IMDIV((COMPLEX(1,I208*(CALCULATIONS!C267*10^3)*(CALCULATIONS!C265*10^-6))),IMPRODUCT((COMPLEX(0,data!I208*((CALCULATIONS!C265*10^-6)+(CALCULATIONS!C271*10^-6)))),(COMPLEX(1,I208*((CALCULATIONS!C267*10^3)*(CALCULATIONS!C265*10^-6)*(CALCULATIONS!C271*10^-6))/((CALCULATIONS!C265*10^-6)+(CALCULATIONS!C271*10^-6)))))))</f>
        <v>1.31537488172739-75.4560372756544i</v>
      </c>
      <c r="Q208" s="1">
        <f t="shared" si="25"/>
        <v>37.555199433336476</v>
      </c>
      <c r="R208" s="1" t="str">
        <f t="shared" si="26"/>
        <v>-1.4223836566645-1022.84776995739i</v>
      </c>
      <c r="S208" s="1">
        <f t="shared" si="27"/>
        <v>60.196228451173951</v>
      </c>
      <c r="T208" s="1">
        <f t="shared" si="28"/>
        <v>89.920323893509561</v>
      </c>
    </row>
    <row r="209" spans="1:20" x14ac:dyDescent="0.25">
      <c r="A209" s="1">
        <v>1.4</v>
      </c>
      <c r="B209" s="1">
        <f t="shared" si="29"/>
        <v>25.118864315095799</v>
      </c>
      <c r="C209" s="1">
        <f t="shared" si="16"/>
        <v>157.82647919764801</v>
      </c>
      <c r="D209" s="1" t="str">
        <f t="shared" si="17"/>
        <v>-0.553560180229429-177.666733915185i</v>
      </c>
      <c r="E209" s="1">
        <f t="shared" si="18"/>
        <v>44.992164533736741</v>
      </c>
      <c r="F209" s="1">
        <f t="shared" si="19"/>
        <v>-90.178517152328467</v>
      </c>
      <c r="G209" s="1">
        <v>-1.6</v>
      </c>
      <c r="H209" s="16">
        <f t="shared" si="30"/>
        <v>2.5118864315095801E-2</v>
      </c>
      <c r="I209" s="16">
        <f t="shared" si="31"/>
        <v>0.157826479197648</v>
      </c>
      <c r="J209" s="16">
        <f>(CALCULATIONS!$C$127*10^3)/((CALCULATIONS!$C$123*10^6)+(CALCULATIONS!$C$127*10^3))</f>
        <v>6.1032863849765258E-2</v>
      </c>
      <c r="K209" s="16" t="str">
        <f t="shared" si="20"/>
        <v>221.983561081758-5.26040199338574i</v>
      </c>
      <c r="L209" s="1">
        <f t="shared" si="21"/>
        <v>46.928854422171426</v>
      </c>
      <c r="M209" s="1" t="str">
        <f t="shared" si="22"/>
        <v>13.548292460389-0.321057398657346i</v>
      </c>
      <c r="N209" s="1">
        <f t="shared" si="23"/>
        <v>22.640129399533414</v>
      </c>
      <c r="O209" s="1">
        <f t="shared" si="24"/>
        <v>-1.3574988726367267</v>
      </c>
      <c r="P209" s="1" t="str">
        <f>IMPRODUCT(42*10^-6,IMDIV((COMPLEX(1,I209*(CALCULATIONS!C267*10^3)*(CALCULATIONS!C265*10^-6))),IMPRODUCT((COMPLEX(0,data!I209*((CALCULATIONS!C265*10^-6)+(CALCULATIONS!C271*10^-6)))),(COMPLEX(1,I209*((CALCULATIONS!C267*10^3)*(CALCULATIONS!C265*10^-6)*(CALCULATIONS!C271*10^-6))/((CALCULATIONS!C265*10^-6)+(CALCULATIONS!C271*10^-6)))))))</f>
        <v>1.31537411828482-59.9374696551805i</v>
      </c>
      <c r="Q209" s="1">
        <f t="shared" si="25"/>
        <v>35.556059225225177</v>
      </c>
      <c r="R209" s="1" t="str">
        <f t="shared" si="26"/>
        <v>-1.42229484024681-812.472678816754i</v>
      </c>
      <c r="S209" s="1">
        <f t="shared" si="27"/>
        <v>58.196188624758591</v>
      </c>
      <c r="T209" s="1">
        <f t="shared" si="28"/>
        <v>89.899699509349361</v>
      </c>
    </row>
    <row r="210" spans="1:20" x14ac:dyDescent="0.25">
      <c r="A210" s="1">
        <v>1.5</v>
      </c>
      <c r="B210" s="1">
        <f t="shared" si="29"/>
        <v>31.6227766016838</v>
      </c>
      <c r="C210" s="1">
        <f t="shared" si="16"/>
        <v>198.691765315922</v>
      </c>
      <c r="D210" s="1" t="str">
        <f t="shared" si="17"/>
        <v>-0.553557037173032-141.124901823201i</v>
      </c>
      <c r="E210" s="1">
        <f t="shared" si="18"/>
        <v>42.992139874883549</v>
      </c>
      <c r="F210" s="1">
        <f t="shared" si="19"/>
        <v>-90.224739354156327</v>
      </c>
      <c r="G210" s="1">
        <v>-1.5</v>
      </c>
      <c r="H210" s="16">
        <f t="shared" si="30"/>
        <v>3.1622776601683798E-2</v>
      </c>
      <c r="I210" s="16">
        <f t="shared" si="31"/>
        <v>0.198691765315922</v>
      </c>
      <c r="J210" s="16">
        <f>(CALCULATIONS!$C$127*10^3)/((CALCULATIONS!$C$123*10^6)+(CALCULATIONS!$C$127*10^3))</f>
        <v>6.1032863849765258E-2</v>
      </c>
      <c r="K210" s="16" t="str">
        <f t="shared" si="20"/>
        <v>221.910714820988-6.62028051726641i</v>
      </c>
      <c r="L210" s="1">
        <f t="shared" si="21"/>
        <v>46.927429004855597</v>
      </c>
      <c r="M210" s="1" t="str">
        <f t="shared" si="22"/>
        <v>13.5438464444734-0.404054679457574i</v>
      </c>
      <c r="N210" s="1">
        <f t="shared" si="23"/>
        <v>22.638703982217546</v>
      </c>
      <c r="O210" s="1">
        <f t="shared" si="24"/>
        <v>-1.7088028476593868</v>
      </c>
      <c r="P210" s="1" t="str">
        <f>IMPRODUCT(42*10^-6,IMDIV((COMPLEX(1,I210*(CALCULATIONS!C267*10^3)*(CALCULATIONS!C265*10^-6))),IMPRODUCT((COMPLEX(0,data!I210*((CALCULATIONS!C265*10^-6)+(CALCULATIONS!C271*10^-6)))),(COMPLEX(1,I210*((CALCULATIONS!C267*10^3)*(CALCULATIONS!C265*10^-6)*(CALCULATIONS!C271*10^-6))/((CALCULATIONS!C265*10^-6)+(CALCULATIONS!C271*10^-6)))))))</f>
        <v>1.31537290831169-47.6107908557841i</v>
      </c>
      <c r="Q210" s="1">
        <f t="shared" si="25"/>
        <v>33.557421552918562</v>
      </c>
      <c r="R210" s="1" t="str">
        <f t="shared" si="26"/>
        <v>-1.42215415056152-645.364723029513i</v>
      </c>
      <c r="S210" s="1">
        <f t="shared" si="27"/>
        <v>56.196125535136112</v>
      </c>
      <c r="T210" s="1">
        <f t="shared" si="28"/>
        <v>89.873740699110002</v>
      </c>
    </row>
    <row r="211" spans="1:20" x14ac:dyDescent="0.25">
      <c r="A211" s="1">
        <v>1.6</v>
      </c>
      <c r="B211" s="1">
        <f t="shared" si="29"/>
        <v>39.810717055349699</v>
      </c>
      <c r="C211" s="1">
        <f t="shared" si="16"/>
        <v>250.138112470457</v>
      </c>
      <c r="D211" s="1" t="str">
        <f t="shared" si="17"/>
        <v>-0.553552055837457-112.098485382665i</v>
      </c>
      <c r="E211" s="1">
        <f t="shared" si="18"/>
        <v>40.992100793521715</v>
      </c>
      <c r="F211" s="1">
        <f t="shared" si="19"/>
        <v>-90.282929235298013</v>
      </c>
      <c r="G211" s="1">
        <v>-1.4</v>
      </c>
      <c r="H211" s="16">
        <f t="shared" si="30"/>
        <v>3.9810717055349699E-2</v>
      </c>
      <c r="I211" s="16">
        <f t="shared" si="31"/>
        <v>0.25013811247045697</v>
      </c>
      <c r="J211" s="16">
        <f>(CALCULATIONS!$C$127*10^3)/((CALCULATIONS!$C$123*10^6)+(CALCULATIONS!$C$127*10^3))</f>
        <v>6.1032863849765258E-2</v>
      </c>
      <c r="K211" s="16" t="str">
        <f t="shared" si="20"/>
        <v>221.795359161924-8.33010689182561i</v>
      </c>
      <c r="L211" s="1">
        <f t="shared" si="21"/>
        <v>46.925170828542306</v>
      </c>
      <c r="M211" s="1" t="str">
        <f t="shared" si="22"/>
        <v>13.5368059582395-0.508410279782784i</v>
      </c>
      <c r="N211" s="1">
        <f t="shared" si="23"/>
        <v>22.636445805904287</v>
      </c>
      <c r="O211" s="1">
        <f t="shared" si="24"/>
        <v>-2.1508824451693607</v>
      </c>
      <c r="P211" s="1" t="str">
        <f>IMPRODUCT(42*10^-6,IMDIV((COMPLEX(1,I211*(CALCULATIONS!C267*10^3)*(CALCULATIONS!C265*10^-6))),IMPRODUCT((COMPLEX(0,data!I211*((CALCULATIONS!C265*10^-6)+(CALCULATIONS!C271*10^-6)))),(COMPLEX(1,I211*((CALCULATIONS!C267*10^3)*(CALCULATIONS!C265*10^-6)*(CALCULATIONS!C271*10^-6))/((CALCULATIONS!C265*10^-6)+(CALCULATIONS!C271*10^-6)))))))</f>
        <v>1.31537099063807-37.8195602807913i</v>
      </c>
      <c r="Q211" s="1">
        <f t="shared" si="25"/>
        <v>31.55957981668702</v>
      </c>
      <c r="R211" s="1" t="str">
        <f t="shared" si="26"/>
        <v>-1.42193136025415-512.624797080382i</v>
      </c>
      <c r="S211" s="1">
        <f t="shared" si="27"/>
        <v>54.1960256225913</v>
      </c>
      <c r="T211" s="1">
        <f t="shared" si="28"/>
        <v>89.841071955127987</v>
      </c>
    </row>
    <row r="212" spans="1:20" x14ac:dyDescent="0.25">
      <c r="A212" s="1">
        <v>1.7</v>
      </c>
      <c r="B212" s="1">
        <f t="shared" si="29"/>
        <v>50.118723362727202</v>
      </c>
      <c r="C212" s="1">
        <f t="shared" si="16"/>
        <v>314.90522624728601</v>
      </c>
      <c r="D212" s="1" t="str">
        <f t="shared" si="17"/>
        <v>-0.553544161136257-89.0417220874907i</v>
      </c>
      <c r="E212" s="1">
        <f t="shared" si="18"/>
        <v>38.992038854457768</v>
      </c>
      <c r="F212" s="1">
        <f t="shared" si="19"/>
        <v>-90.356185110741421</v>
      </c>
      <c r="G212" s="1">
        <v>-1.3</v>
      </c>
      <c r="H212" s="16">
        <f t="shared" si="30"/>
        <v>5.0118723362727199E-2</v>
      </c>
      <c r="I212" s="16">
        <f t="shared" si="31"/>
        <v>0.31490522624728601</v>
      </c>
      <c r="J212" s="16">
        <f>(CALCULATIONS!$C$127*10^3)/((CALCULATIONS!$C$123*10^6)+(CALCULATIONS!$C$127*10^3))</f>
        <v>6.1032863849765258E-2</v>
      </c>
      <c r="K212" s="16" t="str">
        <f t="shared" si="20"/>
        <v>221.612778225283-10.4783504118955i</v>
      </c>
      <c r="L212" s="1">
        <f t="shared" si="21"/>
        <v>46.921594263699227</v>
      </c>
      <c r="M212" s="1" t="str">
        <f t="shared" si="22"/>
        <v>13.5256625207919-0.63952373405935i</v>
      </c>
      <c r="N212" s="1">
        <f t="shared" si="23"/>
        <v>22.632869241061201</v>
      </c>
      <c r="O212" s="1">
        <f t="shared" si="24"/>
        <v>-2.7070571671800936</v>
      </c>
      <c r="P212" s="1" t="str">
        <f>IMPRODUCT(42*10^-6,IMDIV((COMPLEX(1,I212*(CALCULATIONS!C267*10^3)*(CALCULATIONS!C265*10^-6))),IMPRODUCT((COMPLEX(0,data!I212*((CALCULATIONS!C265*10^-6)+(CALCULATIONS!C271*10^-6)))),(COMPLEX(1,I212*((CALCULATIONS!C267*10^3)*(CALCULATIONS!C265*10^-6)*(CALCULATIONS!C271*10^-6))/((CALCULATIONS!C265*10^-6)+(CALCULATIONS!C271*10^-6)))))))</f>
        <v>1.31536795134166-30.0423591958974i</v>
      </c>
      <c r="Q212" s="1">
        <f t="shared" si="25"/>
        <v>29.562998225843504</v>
      </c>
      <c r="R212" s="1" t="str">
        <f t="shared" si="26"/>
        <v>-1.42157873239984-407.184020836021i</v>
      </c>
      <c r="S212" s="1">
        <f t="shared" si="27"/>
        <v>52.195867466904687</v>
      </c>
      <c r="T212" s="1">
        <f t="shared" si="28"/>
        <v>89.799967271505651</v>
      </c>
    </row>
    <row r="213" spans="1:20" x14ac:dyDescent="0.25">
      <c r="A213" s="1">
        <v>1.8</v>
      </c>
      <c r="B213" s="1">
        <f t="shared" si="29"/>
        <v>63.0957344480193</v>
      </c>
      <c r="C213" s="1">
        <f t="shared" si="16"/>
        <v>396.44219162949997</v>
      </c>
      <c r="D213" s="1" t="str">
        <f t="shared" si="17"/>
        <v>-0.553531649339325-70.7267552446946i</v>
      </c>
      <c r="E213" s="1">
        <f t="shared" si="18"/>
        <v>36.991940689466453</v>
      </c>
      <c r="F213" s="1">
        <f t="shared" si="19"/>
        <v>-90.448407108682744</v>
      </c>
      <c r="G213" s="1">
        <v>-1.2</v>
      </c>
      <c r="H213" s="16">
        <f t="shared" si="30"/>
        <v>6.3095734448019303E-2</v>
      </c>
      <c r="I213" s="16">
        <f t="shared" si="31"/>
        <v>0.39644219162950001</v>
      </c>
      <c r="J213" s="16">
        <f>(CALCULATIONS!$C$127*10^3)/((CALCULATIONS!$C$123*10^6)+(CALCULATIONS!$C$127*10^3))</f>
        <v>6.1032863849765258E-2</v>
      </c>
      <c r="K213" s="16" t="str">
        <f t="shared" si="20"/>
        <v>221.324021884591-13.1742734368771i</v>
      </c>
      <c r="L213" s="1">
        <f t="shared" si="21"/>
        <v>46.915931816907218</v>
      </c>
      <c r="M213" s="1" t="str">
        <f t="shared" si="22"/>
        <v>13.5080388943647-0.804063636992499i</v>
      </c>
      <c r="N213" s="1">
        <f t="shared" si="23"/>
        <v>22.627206794269203</v>
      </c>
      <c r="O213" s="1">
        <f t="shared" si="24"/>
        <v>-3.406501671684421</v>
      </c>
      <c r="P213" s="1" t="str">
        <f>IMPRODUCT(42*10^-6,IMDIV((COMPLEX(1,I213*(CALCULATIONS!C267*10^3)*(CALCULATIONS!C265*10^-6))),IMPRODUCT((COMPLEX(0,data!I213*((CALCULATIONS!C265*10^-6)+(CALCULATIONS!C271*10^-6)))),(COMPLEX(1,I213*((CALCULATIONS!C267*10^3)*(CALCULATIONS!C265*10^-6)*(CALCULATIONS!C271*10^-6))/((CALCULATIONS!C265*10^-6)+(CALCULATIONS!C271*10^-6)))))))</f>
        <v>1.31536313441025-23.8650232790692i</v>
      </c>
      <c r="Q213" s="1">
        <f t="shared" si="25"/>
        <v>27.568410501378345</v>
      </c>
      <c r="R213" s="1" t="str">
        <f t="shared" si="26"/>
        <v>-1.42102103485191-323.427298334406i</v>
      </c>
      <c r="S213" s="1">
        <f t="shared" si="27"/>
        <v>50.195617295647558</v>
      </c>
      <c r="T213" s="1">
        <f t="shared" si="28"/>
        <v>89.748264959636089</v>
      </c>
    </row>
    <row r="214" spans="1:20" x14ac:dyDescent="0.25">
      <c r="A214" s="1">
        <v>1.9</v>
      </c>
      <c r="B214" s="1">
        <f t="shared" si="29"/>
        <v>79.432823472428097</v>
      </c>
      <c r="C214" s="1">
        <f t="shared" si="16"/>
        <v>499.09114934975003</v>
      </c>
      <c r="D214" s="1" t="str">
        <f t="shared" si="17"/>
        <v>-0.553511820636092-56.1782461426823i</v>
      </c>
      <c r="E214" s="1">
        <f t="shared" si="18"/>
        <v>34.991785112984921</v>
      </c>
      <c r="F214" s="1">
        <f t="shared" si="19"/>
        <v>-90.564504363127853</v>
      </c>
      <c r="G214" s="1">
        <v>-1.1000000000000001</v>
      </c>
      <c r="H214" s="16">
        <f t="shared" si="30"/>
        <v>7.9432823472428096E-2</v>
      </c>
      <c r="I214" s="16">
        <f t="shared" si="31"/>
        <v>0.49909114934975002</v>
      </c>
      <c r="J214" s="16">
        <f>(CALCULATIONS!$C$127*10^3)/((CALCULATIONS!$C$123*10^6)+(CALCULATIONS!$C$127*10^3))</f>
        <v>6.1032863849765258E-2</v>
      </c>
      <c r="K214" s="16" t="str">
        <f t="shared" si="20"/>
        <v>220.867912133486-16.5512479722035i</v>
      </c>
      <c r="L214" s="1">
        <f t="shared" si="21"/>
        <v>46.906972539133974</v>
      </c>
      <c r="M214" s="1" t="str">
        <f t="shared" si="22"/>
        <v>13.480201210025-1.0101700640312i</v>
      </c>
      <c r="N214" s="1">
        <f t="shared" si="23"/>
        <v>22.61824751649597</v>
      </c>
      <c r="O214" s="1">
        <f t="shared" si="24"/>
        <v>-4.285581730020632</v>
      </c>
      <c r="P214" s="1" t="str">
        <f>IMPRODUCT(42*10^-6,IMDIV((COMPLEX(1,I214*(CALCULATIONS!C267*10^3)*(CALCULATIONS!C265*10^-6))),IMPRODUCT((COMPLEX(0,data!I214*((CALCULATIONS!C265*10^-6)+(CALCULATIONS!C271*10^-6)))),(COMPLEX(1,I214*((CALCULATIONS!C267*10^3)*(CALCULATIONS!C265*10^-6)*(CALCULATIONS!C271*10^-6))/((CALCULATIONS!C265*10^-6)+(CALCULATIONS!C271*10^-6)))))))</f>
        <v>1.31535550016071-18.9585868578765i</v>
      </c>
      <c r="Q214" s="1">
        <f t="shared" si="25"/>
        <v>25.576974506744751</v>
      </c>
      <c r="R214" s="1" t="str">
        <f t="shared" si="26"/>
        <v>-1.42014009528273-256.894298251732i</v>
      </c>
      <c r="S214" s="1">
        <f t="shared" si="27"/>
        <v>48.195222023240724</v>
      </c>
      <c r="T214" s="1">
        <f t="shared" si="28"/>
        <v>89.683265819923932</v>
      </c>
    </row>
    <row r="215" spans="1:20" x14ac:dyDescent="0.25">
      <c r="A215" s="1">
        <v>2</v>
      </c>
      <c r="B215" s="1">
        <f t="shared" si="29"/>
        <v>100</v>
      </c>
      <c r="C215" s="1">
        <f t="shared" si="16"/>
        <v>628.31853071795899</v>
      </c>
      <c r="D215" s="1" t="str">
        <f t="shared" si="17"/>
        <v>-0.55348039716913-44.6214337373664i</v>
      </c>
      <c r="E215" s="1">
        <f t="shared" si="18"/>
        <v>32.991538552293889</v>
      </c>
      <c r="F215" s="1">
        <f t="shared" si="19"/>
        <v>-90.710655438849443</v>
      </c>
      <c r="G215" s="1">
        <v>-1</v>
      </c>
      <c r="H215" s="16">
        <f t="shared" si="30"/>
        <v>0.1</v>
      </c>
      <c r="I215" s="16">
        <f t="shared" si="31"/>
        <v>0.62831853071795896</v>
      </c>
      <c r="J215" s="16">
        <f>(CALCULATIONS!$C$127*10^3)/((CALCULATIONS!$C$123*10^6)+(CALCULATIONS!$C$127*10^3))</f>
        <v>6.1032863849765258E-2</v>
      </c>
      <c r="K215" s="16" t="str">
        <f t="shared" si="20"/>
        <v>220.148865173377-20.7689514278234i</v>
      </c>
      <c r="L215" s="1">
        <f t="shared" si="21"/>
        <v>46.892810792017613</v>
      </c>
      <c r="M215" s="1" t="str">
        <f t="shared" si="22"/>
        <v>13.436315714807-1.26758858479673i</v>
      </c>
      <c r="N215" s="1">
        <f t="shared" si="23"/>
        <v>22.604085769379559</v>
      </c>
      <c r="O215" s="1">
        <f t="shared" si="24"/>
        <v>-5.3893609180947424</v>
      </c>
      <c r="P215" s="1" t="str">
        <f>IMPRODUCT(42*10^-6,IMDIV((COMPLEX(1,I215*(CALCULATIONS!C267*10^3)*(CALCULATIONS!C265*10^-6))),IMPRODUCT((COMPLEX(0,data!I215*((CALCULATIONS!C265*10^-6)+(CALCULATIONS!C271*10^-6)))),(COMPLEX(1,I215*((CALCULATIONS!C267*10^3)*(CALCULATIONS!C265*10^-6)*(CALCULATIONS!C271*10^-6))/((CALCULATIONS!C265*10^-6)+(CALCULATIONS!C271*10^-6)))))))</f>
        <v>1.3153434008721-15.0617642833444i</v>
      </c>
      <c r="Q215" s="1">
        <f t="shared" si="25"/>
        <v>23.590512839767047</v>
      </c>
      <c r="R215" s="1" t="str">
        <f t="shared" si="26"/>
        <v>-1.41875126496099-204.041934413052i</v>
      </c>
      <c r="S215" s="1">
        <f t="shared" si="27"/>
        <v>46.194598609146595</v>
      </c>
      <c r="T215" s="1">
        <f t="shared" si="28"/>
        <v>89.601615472315672</v>
      </c>
    </row>
    <row r="216" spans="1:20" x14ac:dyDescent="0.25">
      <c r="A216" s="1">
        <v>2.1</v>
      </c>
      <c r="B216" s="1">
        <f t="shared" si="29"/>
        <v>125.89254117941699</v>
      </c>
      <c r="C216" s="1">
        <f t="shared" si="16"/>
        <v>791.00616502201206</v>
      </c>
      <c r="D216" s="1" t="str">
        <f t="shared" si="17"/>
        <v>-0.553430601638025-35.4408758594255i</v>
      </c>
      <c r="E216" s="1">
        <f t="shared" si="18"/>
        <v>30.991147808604119</v>
      </c>
      <c r="F216" s="1">
        <f t="shared" si="19"/>
        <v>-90.894635359155046</v>
      </c>
      <c r="G216" s="1">
        <v>-0.9</v>
      </c>
      <c r="H216" s="16">
        <f t="shared" si="30"/>
        <v>0.12589254117941701</v>
      </c>
      <c r="I216" s="16">
        <f t="shared" si="31"/>
        <v>0.79100616502201204</v>
      </c>
      <c r="J216" s="16">
        <f>(CALCULATIONS!$C$127*10^3)/((CALCULATIONS!$C$123*10^6)+(CALCULATIONS!$C$127*10^3))</f>
        <v>6.1032863849765258E-2</v>
      </c>
      <c r="K216" s="16" t="str">
        <f t="shared" si="20"/>
        <v>219.018793442848-26.0123447785805i</v>
      </c>
      <c r="L216" s="1">
        <f t="shared" si="21"/>
        <v>46.870460102465302</v>
      </c>
      <c r="M216" s="1" t="str">
        <f t="shared" si="22"/>
        <v>13.3673442007372-1.58760789728426i</v>
      </c>
      <c r="N216" s="1">
        <f t="shared" si="23"/>
        <v>22.581735079827286</v>
      </c>
      <c r="O216" s="1">
        <f t="shared" si="24"/>
        <v>-6.7731564953505199</v>
      </c>
      <c r="P216" s="1" t="str">
        <f>IMPRODUCT(42*10^-6,IMDIV((COMPLEX(1,I216*(CALCULATIONS!C267*10^3)*(CALCULATIONS!C265*10^-6))),IMPRODUCT((COMPLEX(0,data!I216*((CALCULATIONS!C265*10^-6)+(CALCULATIONS!C271*10^-6)))),(COMPLEX(1,I216*((CALCULATIONS!C267*10^3)*(CALCULATIONS!C265*10^-6)*(CALCULATIONS!C271*10^-6))/((CALCULATIONS!C265*10^-6)+(CALCULATIONS!C271*10^-6)))))))</f>
        <v>1.31532422524791-11.9670355073602i</v>
      </c>
      <c r="Q216" s="1">
        <f t="shared" si="25"/>
        <v>21.611883068777118</v>
      </c>
      <c r="R216" s="1" t="str">
        <f t="shared" si="26"/>
        <v>-1.4165684241094-162.05570181682i</v>
      </c>
      <c r="S216" s="1">
        <f t="shared" si="27"/>
        <v>44.193618148604379</v>
      </c>
      <c r="T216" s="1">
        <f t="shared" si="28"/>
        <v>89.499176369211781</v>
      </c>
    </row>
    <row r="217" spans="1:20" x14ac:dyDescent="0.25">
      <c r="A217" s="1">
        <v>2.2000000000000002</v>
      </c>
      <c r="B217" s="1">
        <f t="shared" si="29"/>
        <v>158.48931924611099</v>
      </c>
      <c r="C217" s="1">
        <f t="shared" si="16"/>
        <v>995.81776203206198</v>
      </c>
      <c r="D217" s="1" t="str">
        <f t="shared" si="17"/>
        <v>-0.553351699390735-28.1476747902767i</v>
      </c>
      <c r="E217" s="1">
        <f t="shared" si="18"/>
        <v>28.990528593594377</v>
      </c>
      <c r="F217" s="1">
        <f t="shared" si="19"/>
        <v>-91.126225658835793</v>
      </c>
      <c r="G217" s="1">
        <v>-0.8</v>
      </c>
      <c r="H217" s="16">
        <f t="shared" si="30"/>
        <v>0.15848931924611101</v>
      </c>
      <c r="I217" s="16">
        <f t="shared" si="31"/>
        <v>0.99581776203206196</v>
      </c>
      <c r="J217" s="16">
        <f>(CALCULATIONS!$C$127*10^3)/((CALCULATIONS!$C$123*10^6)+(CALCULATIONS!$C$127*10^3))</f>
        <v>6.1032863849765258E-2</v>
      </c>
      <c r="K217" s="16" t="str">
        <f t="shared" si="20"/>
        <v>217.251323687144-32.483330495466i</v>
      </c>
      <c r="L217" s="1">
        <f t="shared" si="21"/>
        <v>46.835270593427836</v>
      </c>
      <c r="M217" s="1" t="str">
        <f t="shared" si="22"/>
        <v>13.2594704597787-1.9825506875167i</v>
      </c>
      <c r="N217" s="1">
        <f t="shared" si="23"/>
        <v>22.546545570789792</v>
      </c>
      <c r="O217" s="1">
        <f t="shared" si="24"/>
        <v>-8.5038443698536987</v>
      </c>
      <c r="P217" s="1" t="str">
        <f>IMPRODUCT(42*10^-6,IMDIV((COMPLEX(1,I217*(CALCULATIONS!C267*10^3)*(CALCULATIONS!C265*10^-6))),IMPRODUCT((COMPLEX(0,data!I217*((CALCULATIONS!C265*10^-6)+(CALCULATIONS!C271*10^-6)))),(COMPLEX(1,I217*((CALCULATIONS!C267*10^3)*(CALCULATIONS!C265*10^-6)*(CALCULATIONS!C271*10^-6))/((CALCULATIONS!C265*10^-6)+(CALCULATIONS!C271*10^-6)))))))</f>
        <v>1.31529383507687-9.5095948654258i</v>
      </c>
      <c r="Q217" s="1">
        <f t="shared" si="25"/>
        <v>19.645537397629276</v>
      </c>
      <c r="R217" s="1" t="str">
        <f t="shared" si="26"/>
        <v>-1.41315408632441-128.699828899595i</v>
      </c>
      <c r="S217" s="1">
        <f t="shared" si="27"/>
        <v>42.192082968419086</v>
      </c>
      <c r="T217" s="1">
        <f t="shared" si="28"/>
        <v>89.37090428245078</v>
      </c>
    </row>
    <row r="218" spans="1:20" x14ac:dyDescent="0.25">
      <c r="A218" s="1">
        <v>2.2999999999999998</v>
      </c>
      <c r="B218" s="1">
        <f t="shared" si="29"/>
        <v>199.52623149688799</v>
      </c>
      <c r="C218" s="1">
        <f t="shared" si="16"/>
        <v>1253.66028613816</v>
      </c>
      <c r="D218" s="1" t="str">
        <f t="shared" si="17"/>
        <v>-0.553226693830579-22.3534419063898i</v>
      </c>
      <c r="E218" s="1">
        <f t="shared" si="18"/>
        <v>26.989547384751944</v>
      </c>
      <c r="F218" s="1">
        <f t="shared" si="19"/>
        <v>-91.417727320352142</v>
      </c>
      <c r="G218" s="1">
        <v>-0.7</v>
      </c>
      <c r="H218" s="16">
        <f t="shared" si="30"/>
        <v>0.199526231496888</v>
      </c>
      <c r="I218" s="16">
        <f t="shared" si="31"/>
        <v>1.2536602861381601</v>
      </c>
      <c r="J218" s="16">
        <f>(CALCULATIONS!$C$127*10^3)/((CALCULATIONS!$C$123*10^6)+(CALCULATIONS!$C$127*10^3))</f>
        <v>6.1032863849765258E-2</v>
      </c>
      <c r="K218" s="16" t="str">
        <f t="shared" si="20"/>
        <v>214.507768915709-40.3776598740497i</v>
      </c>
      <c r="L218" s="1">
        <f t="shared" si="21"/>
        <v>46.780076539347377</v>
      </c>
      <c r="M218" s="1" t="str">
        <f t="shared" si="22"/>
        <v>13.0920234549494-2.464364217665i</v>
      </c>
      <c r="N218" s="1">
        <f t="shared" si="23"/>
        <v>22.491351516709372</v>
      </c>
      <c r="O218" s="1">
        <f t="shared" si="24"/>
        <v>-10.660277845194967</v>
      </c>
      <c r="P218" s="1" t="str">
        <f>IMPRODUCT(42*10^-6,IMDIV((COMPLEX(1,I218*(CALCULATIONS!C267*10^3)*(CALCULATIONS!C265*10^-6))),IMPRODUCT((COMPLEX(0,data!I218*((CALCULATIONS!C265*10^-6)+(CALCULATIONS!C271*10^-6)))),(COMPLEX(1,I218*((CALCULATIONS!C267*10^3)*(CALCULATIONS!C265*10^-6)*(CALCULATIONS!C271*10^-6))/((CALCULATIONS!C265*10^-6)+(CALCULATIONS!C271*10^-6)))))))</f>
        <v>1.31524567277817-7.55857453822997i</v>
      </c>
      <c r="Q218" s="1">
        <f t="shared" si="25"/>
        <v>17.698344258162123</v>
      </c>
      <c r="R218" s="1" t="str">
        <f t="shared" si="26"/>
        <v>-1.40785343153518-102.198279513923i</v>
      </c>
      <c r="S218" s="1">
        <f t="shared" si="27"/>
        <v>40.189695774871467</v>
      </c>
      <c r="T218" s="1">
        <f t="shared" si="28"/>
        <v>89.210760120198856</v>
      </c>
    </row>
    <row r="219" spans="1:20" x14ac:dyDescent="0.25">
      <c r="A219" s="1">
        <v>2.4</v>
      </c>
      <c r="B219" s="1">
        <f t="shared" si="29"/>
        <v>251.188643150958</v>
      </c>
      <c r="C219" s="1">
        <f t="shared" si="16"/>
        <v>1578.26479197648</v>
      </c>
      <c r="D219" s="1" t="str">
        <f t="shared" si="17"/>
        <v>-0.553028689018976-17.7496150280671i</v>
      </c>
      <c r="E219" s="1">
        <f t="shared" si="18"/>
        <v>24.987992727494266</v>
      </c>
      <c r="F219" s="1">
        <f t="shared" si="19"/>
        <v>-91.784599969172064</v>
      </c>
      <c r="G219" s="1">
        <v>-0.6</v>
      </c>
      <c r="H219" s="16">
        <f t="shared" si="30"/>
        <v>0.25118864315095801</v>
      </c>
      <c r="I219" s="16">
        <f t="shared" si="31"/>
        <v>1.5782647919764801</v>
      </c>
      <c r="J219" s="16">
        <f>(CALCULATIONS!$C$127*10^3)/((CALCULATIONS!$C$123*10^6)+(CALCULATIONS!$C$127*10^3))</f>
        <v>6.1032863849765258E-2</v>
      </c>
      <c r="K219" s="16" t="str">
        <f t="shared" si="20"/>
        <v>210.298683325218-49.835024160322i</v>
      </c>
      <c r="L219" s="1">
        <f t="shared" si="21"/>
        <v>46.69401181696032</v>
      </c>
      <c r="M219" s="1" t="str">
        <f t="shared" si="22"/>
        <v>12.8351309071729-3.04157424452669i</v>
      </c>
      <c r="N219" s="1">
        <f t="shared" si="23"/>
        <v>22.405286794322279</v>
      </c>
      <c r="O219" s="1">
        <f t="shared" si="24"/>
        <v>-13.331610310344253</v>
      </c>
      <c r="P219" s="1" t="str">
        <f>IMPRODUCT(42*10^-6,IMDIV((COMPLEX(1,I219*(CALCULATIONS!C267*10^3)*(CALCULATIONS!C265*10^-6))),IMPRODUCT((COMPLEX(0,data!I219*((CALCULATIONS!C265*10^-6)+(CALCULATIONS!C271*10^-6)))),(COMPLEX(1,I219*((CALCULATIONS!C267*10^3)*(CALCULATIONS!C265*10^-6)*(CALCULATIONS!C271*10^-6))/((CALCULATIONS!C265*10^-6)+(CALCULATIONS!C271*10^-6)))))))</f>
        <v>1.31516934790333-6.01007529159542i</v>
      </c>
      <c r="Q219" s="1">
        <f t="shared" si="25"/>
        <v>15.780736336493991</v>
      </c>
      <c r="R219" s="1" t="str">
        <f t="shared" si="26"/>
        <v>-1.39971946914241-81.1402883453663i</v>
      </c>
      <c r="S219" s="1">
        <f t="shared" si="27"/>
        <v>38.186023130816274</v>
      </c>
      <c r="T219" s="1">
        <f t="shared" si="28"/>
        <v>89.011710878331883</v>
      </c>
    </row>
    <row r="220" spans="1:20" x14ac:dyDescent="0.25">
      <c r="A220" s="1">
        <v>2.5</v>
      </c>
      <c r="B220" s="1">
        <f t="shared" si="29"/>
        <v>316.22776601683802</v>
      </c>
      <c r="C220" s="1">
        <f t="shared" si="16"/>
        <v>1986.91765315922</v>
      </c>
      <c r="D220" s="1" t="str">
        <f t="shared" si="17"/>
        <v>-0.552715162705764-14.0910272718046i</v>
      </c>
      <c r="E220" s="1">
        <f t="shared" si="18"/>
        <v>22.985529901204199</v>
      </c>
      <c r="F220" s="1">
        <f t="shared" si="19"/>
        <v>-92.246253533104891</v>
      </c>
      <c r="G220" s="1">
        <v>-0.5</v>
      </c>
      <c r="H220" s="16">
        <f t="shared" si="30"/>
        <v>0.316227766016838</v>
      </c>
      <c r="I220" s="16">
        <f t="shared" si="31"/>
        <v>1.9869176531592201</v>
      </c>
      <c r="J220" s="16">
        <f>(CALCULATIONS!$C$127*10^3)/((CALCULATIONS!$C$123*10^6)+(CALCULATIONS!$C$127*10^3))</f>
        <v>6.1032863849765258E-2</v>
      </c>
      <c r="K220" s="16" t="str">
        <f t="shared" si="20"/>
        <v>203.955884015575-60.8463258035729i</v>
      </c>
      <c r="L220" s="1">
        <f t="shared" si="21"/>
        <v>46.56100867099903</v>
      </c>
      <c r="M220" s="1" t="str">
        <f t="shared" si="22"/>
        <v>12.4480117004811-3.71362551852792i</v>
      </c>
      <c r="N220" s="1">
        <f t="shared" si="23"/>
        <v>22.272283648361014</v>
      </c>
      <c r="O220" s="1">
        <f t="shared" si="24"/>
        <v>-16.611463554640139</v>
      </c>
      <c r="P220" s="1" t="str">
        <f>IMPRODUCT(42*10^-6,IMDIV((COMPLEX(1,I220*(CALCULATIONS!C267*10^3)*(CALCULATIONS!C265*10^-6))),IMPRODUCT((COMPLEX(0,data!I220*((CALCULATIONS!C265*10^-6)+(CALCULATIONS!C271*10^-6)))),(COMPLEX(1,I220*((CALCULATIONS!C267*10^3)*(CALCULATIONS!C265*10^-6)*(CALCULATIONS!C271*10^-6))/((CALCULATIONS!C265*10^-6)+(CALCULATIONS!C271*10^-6)))))))</f>
        <v>1.31504839927258-4.78163332087056i</v>
      </c>
      <c r="Q220" s="1">
        <f t="shared" si="25"/>
        <v>13.908180349747884</v>
      </c>
      <c r="R220" s="1" t="str">
        <f t="shared" si="26"/>
        <v>-1.38745765978429-64.405424819245i</v>
      </c>
      <c r="S220" s="1">
        <f t="shared" si="27"/>
        <v>36.180463998108905</v>
      </c>
      <c r="T220" s="1">
        <f t="shared" si="28"/>
        <v>88.765893178454476</v>
      </c>
    </row>
    <row r="221" spans="1:20" x14ac:dyDescent="0.25">
      <c r="A221" s="1">
        <v>2.6</v>
      </c>
      <c r="B221" s="1">
        <f t="shared" si="29"/>
        <v>398.10717055349699</v>
      </c>
      <c r="C221" s="1">
        <f t="shared" si="16"/>
        <v>2501.3811247045701</v>
      </c>
      <c r="D221" s="1" t="str">
        <f t="shared" si="17"/>
        <v>-0.552218984519613-11.1828528340574i</v>
      </c>
      <c r="E221" s="1">
        <f t="shared" si="18"/>
        <v>20.981629443184854</v>
      </c>
      <c r="F221" s="1">
        <f t="shared" si="19"/>
        <v>-92.827018975138856</v>
      </c>
      <c r="G221" s="1">
        <v>-0.4</v>
      </c>
      <c r="H221" s="16">
        <f t="shared" si="30"/>
        <v>0.39810717055349698</v>
      </c>
      <c r="I221" s="16">
        <f t="shared" si="31"/>
        <v>2.5013811247045701</v>
      </c>
      <c r="J221" s="16">
        <f>(CALCULATIONS!$C$127*10^3)/((CALCULATIONS!$C$123*10^6)+(CALCULATIONS!$C$127*10^3))</f>
        <v>6.1032863849765258E-2</v>
      </c>
      <c r="K221" s="16" t="str">
        <f t="shared" si="20"/>
        <v>194.651202598952-73.1063684289223i</v>
      </c>
      <c r="L221" s="1">
        <f t="shared" si="21"/>
        <v>46.358217193396101</v>
      </c>
      <c r="M221" s="1" t="str">
        <f t="shared" si="22"/>
        <v>11.8801203464149-4.46189103087319i</v>
      </c>
      <c r="N221" s="1">
        <f t="shared" si="23"/>
        <v>22.069492170758075</v>
      </c>
      <c r="O221" s="1">
        <f t="shared" si="24"/>
        <v>-20.584985798320393</v>
      </c>
      <c r="P221" s="1" t="str">
        <f>IMPRODUCT(42*10^-6,IMDIV((COMPLEX(1,I221*(CALCULATIONS!C267*10^3)*(CALCULATIONS!C265*10^-6))),IMPRODUCT((COMPLEX(0,data!I221*((CALCULATIONS!C265*10^-6)+(CALCULATIONS!C271*10^-6)))),(COMPLEX(1,I221*((CALCULATIONS!C267*10^3)*(CALCULATIONS!C265*10^-6)*(CALCULATIONS!C271*10^-6))/((CALCULATIONS!C265*10^-6)+(CALCULATIONS!C271*10^-6)))))))</f>
        <v>1.31485675417272-3.80782846848238i</v>
      </c>
      <c r="Q221" s="1">
        <f t="shared" si="25"/>
        <v>12.102758623971056</v>
      </c>
      <c r="R221" s="1" t="str">
        <f t="shared" si="26"/>
        <v>-1.36945921275674-51.1042080224017i</v>
      </c>
      <c r="S221" s="1">
        <f t="shared" si="27"/>
        <v>34.172250794729131</v>
      </c>
      <c r="T221" s="1">
        <f t="shared" si="28"/>
        <v>88.464990212936286</v>
      </c>
    </row>
    <row r="222" spans="1:20" x14ac:dyDescent="0.25">
      <c r="A222" s="1">
        <v>2.7</v>
      </c>
      <c r="B222" s="1">
        <f t="shared" si="29"/>
        <v>501.18723362727201</v>
      </c>
      <c r="C222" s="1">
        <f t="shared" si="16"/>
        <v>3149.0522624728601</v>
      </c>
      <c r="D222" s="1" t="str">
        <f t="shared" si="17"/>
        <v>-0.551434417302942-8.87023539985993i</v>
      </c>
      <c r="E222" s="1">
        <f t="shared" si="18"/>
        <v>18.975454800498689</v>
      </c>
      <c r="F222" s="1">
        <f t="shared" si="19"/>
        <v>-93.557319030929634</v>
      </c>
      <c r="G222" s="1">
        <v>-0.3</v>
      </c>
      <c r="H222" s="16">
        <f t="shared" si="30"/>
        <v>0.50118723362727202</v>
      </c>
      <c r="I222" s="16">
        <f t="shared" si="31"/>
        <v>3.1490522624728601</v>
      </c>
      <c r="J222" s="16">
        <f>(CALCULATIONS!$C$127*10^3)/((CALCULATIONS!$C$123*10^6)+(CALCULATIONS!$C$127*10^3))</f>
        <v>6.1032863849765258E-2</v>
      </c>
      <c r="K222" s="16" t="str">
        <f t="shared" si="20"/>
        <v>181.526053804418-85.8295995331859i</v>
      </c>
      <c r="L222" s="1">
        <f t="shared" si="21"/>
        <v>46.05503594733355</v>
      </c>
      <c r="M222" s="1" t="str">
        <f t="shared" si="22"/>
        <v>11.0790549270302-5.23842626258881i</v>
      </c>
      <c r="N222" s="1">
        <f t="shared" si="23"/>
        <v>21.766310924695521</v>
      </c>
      <c r="O222" s="1">
        <f t="shared" si="24"/>
        <v>-25.305837218817945</v>
      </c>
      <c r="P222" s="1" t="str">
        <f>IMPRODUCT(42*10^-6,IMDIV((COMPLEX(1,I222*(CALCULATIONS!C267*10^3)*(CALCULATIONS!C265*10^-6))),IMPRODUCT((COMPLEX(0,data!I222*((CALCULATIONS!C265*10^-6)+(CALCULATIONS!C271*10^-6)))),(COMPLEX(1,I222*((CALCULATIONS!C267*10^3)*(CALCULATIONS!C265*10^-6)*(CALCULATIONS!C271*10^-6))/((CALCULATIONS!C265*10^-6)+(CALCULATIONS!C271*10^-6)))))))</f>
        <v>1.31455313155068-3.03679979573333i</v>
      </c>
      <c r="Q222" s="1">
        <f t="shared" si="25"/>
        <v>10.394221678290608</v>
      </c>
      <c r="R222" s="1" t="str">
        <f t="shared" si="26"/>
        <v>-1.34404545524427-40.5310613872071i</v>
      </c>
      <c r="S222" s="1">
        <f t="shared" si="27"/>
        <v>32.16053260298613</v>
      </c>
      <c r="T222" s="1">
        <f t="shared" si="28"/>
        <v>88.100717798480574</v>
      </c>
    </row>
    <row r="223" spans="1:20" x14ac:dyDescent="0.25">
      <c r="A223" s="1">
        <v>2.8</v>
      </c>
      <c r="B223" s="1">
        <f t="shared" si="29"/>
        <v>630.957344480193</v>
      </c>
      <c r="C223" s="1">
        <f t="shared" si="16"/>
        <v>3964.4219162949998</v>
      </c>
      <c r="D223" s="1" t="str">
        <f t="shared" si="17"/>
        <v>-0.550195518387935-7.03004856401565i</v>
      </c>
      <c r="E223" s="1">
        <f t="shared" si="18"/>
        <v>16.965686598458763</v>
      </c>
      <c r="F223" s="1">
        <f t="shared" si="19"/>
        <v>-94.475040733260528</v>
      </c>
      <c r="G223" s="1">
        <v>-0.2</v>
      </c>
      <c r="H223" s="16">
        <f t="shared" si="30"/>
        <v>0.63095734448019303</v>
      </c>
      <c r="I223" s="16">
        <f t="shared" si="31"/>
        <v>3.9644219162950001</v>
      </c>
      <c r="J223" s="16">
        <f>(CALCULATIONS!$C$127*10^3)/((CALCULATIONS!$C$123*10^6)+(CALCULATIONS!$C$127*10^3))</f>
        <v>6.1032863849765258E-2</v>
      </c>
      <c r="K223" s="16" t="str">
        <f t="shared" si="20"/>
        <v>163.999750191767-97.6205625674251i</v>
      </c>
      <c r="L223" s="1">
        <f t="shared" si="21"/>
        <v>45.614078146288065</v>
      </c>
      <c r="M223" s="1" t="str">
        <f t="shared" si="22"/>
        <v>10.0093744248496-5.95806250411515i</v>
      </c>
      <c r="N223" s="1">
        <f t="shared" si="23"/>
        <v>21.325353123650022</v>
      </c>
      <c r="O223" s="1">
        <f t="shared" si="24"/>
        <v>-30.763148695264636</v>
      </c>
      <c r="P223" s="1" t="str">
        <f>IMPRODUCT(42*10^-6,IMDIV((COMPLEX(1,I223*(CALCULATIONS!C267*10^3)*(CALCULATIONS!C265*10^-6))),IMPRODUCT((COMPLEX(0,data!I223*((CALCULATIONS!C265*10^-6)+(CALCULATIONS!C271*10^-6)))),(COMPLEX(1,I223*((CALCULATIONS!C267*10^3)*(CALCULATIONS!C265*10^-6)*(CALCULATIONS!C271*10^-6))/((CALCULATIONS!C265*10^-6)+(CALCULATIONS!C271*10^-6)))))))</f>
        <v>1.31407220925058-2.42748267103505i</v>
      </c>
      <c r="Q223" s="1">
        <f t="shared" si="25"/>
        <v>8.8192407316890034</v>
      </c>
      <c r="R223" s="1" t="str">
        <f t="shared" si="26"/>
        <v>-1.31005271800485-32.1269073218595i</v>
      </c>
      <c r="S223" s="1">
        <f t="shared" si="27"/>
        <v>30.144593855339036</v>
      </c>
      <c r="T223" s="1">
        <f t="shared" si="28"/>
        <v>87.664919038461875</v>
      </c>
    </row>
    <row r="224" spans="1:20" x14ac:dyDescent="0.25">
      <c r="A224" s="1">
        <v>2.9</v>
      </c>
      <c r="B224" s="1">
        <f t="shared" si="29"/>
        <v>794.32823472428095</v>
      </c>
      <c r="C224" s="1">
        <f t="shared" si="16"/>
        <v>4990.9114934974996</v>
      </c>
      <c r="D224" s="1" t="str">
        <f t="shared" si="17"/>
        <v>-0.54824335850763-5.56435277297927i</v>
      </c>
      <c r="E224" s="1">
        <f t="shared" si="18"/>
        <v>14.950249905999225</v>
      </c>
      <c r="F224" s="1">
        <f t="shared" si="19"/>
        <v>-95.627064529806432</v>
      </c>
      <c r="G224" s="1">
        <v>-0.1</v>
      </c>
      <c r="H224" s="16">
        <f t="shared" si="30"/>
        <v>0.79432823472428105</v>
      </c>
      <c r="I224" s="16">
        <f t="shared" si="31"/>
        <v>4.9909114934975003</v>
      </c>
      <c r="J224" s="16">
        <f>(CALCULATIONS!$C$127*10^3)/((CALCULATIONS!$C$123*10^6)+(CALCULATIONS!$C$127*10^3))</f>
        <v>6.1032863849765258E-2</v>
      </c>
      <c r="K224" s="16" t="str">
        <f t="shared" si="20"/>
        <v>142.234819429053-106.586952532473i</v>
      </c>
      <c r="L224" s="1">
        <f t="shared" si="21"/>
        <v>44.995705538605428</v>
      </c>
      <c r="M224" s="1" t="str">
        <f t="shared" si="22"/>
        <v>8.68099836890934-6.50530696207582i</v>
      </c>
      <c r="N224" s="1">
        <f t="shared" si="23"/>
        <v>20.706980515967402</v>
      </c>
      <c r="O224" s="1">
        <f t="shared" si="24"/>
        <v>-36.84690402597888</v>
      </c>
      <c r="P224" s="1" t="str">
        <f>IMPRODUCT(42*10^-6,IMDIV((COMPLEX(1,I224*(CALCULATIONS!C267*10^3)*(CALCULATIONS!C265*10^-6))),IMPRODUCT((COMPLEX(0,data!I224*((CALCULATIONS!C265*10^-6)+(CALCULATIONS!C271*10^-6)))),(COMPLEX(1,I224*((CALCULATIONS!C267*10^3)*(CALCULATIONS!C265*10^-6)*(CALCULATIONS!C271*10^-6))/((CALCULATIONS!C265*10^-6)+(CALCULATIONS!C271*10^-6)))))))</f>
        <v>1.31331071915255-1.94741968535983i</v>
      </c>
      <c r="Q224" s="1">
        <f t="shared" si="25"/>
        <v>7.4172096905789733</v>
      </c>
      <c r="R224" s="1" t="str">
        <f t="shared" si="26"/>
        <v>-1.26771462642037-25.4490364768625i</v>
      </c>
      <c r="S224" s="1">
        <f t="shared" si="27"/>
        <v>28.124190206546373</v>
      </c>
      <c r="T224" s="1">
        <f t="shared" si="28"/>
        <v>87.148233568343358</v>
      </c>
    </row>
    <row r="225" spans="1:20" x14ac:dyDescent="0.25">
      <c r="A225" s="1">
        <v>3</v>
      </c>
      <c r="B225" s="1">
        <f t="shared" si="29"/>
        <v>1000</v>
      </c>
      <c r="C225" s="1">
        <f t="shared" si="16"/>
        <v>6283.1853071795904</v>
      </c>
      <c r="D225" s="1" t="str">
        <f t="shared" si="17"/>
        <v>-0.545177611259972-4.39520654757696i</v>
      </c>
      <c r="E225" s="1">
        <f t="shared" si="18"/>
        <v>12.925896237314063</v>
      </c>
      <c r="F225" s="1">
        <f t="shared" si="19"/>
        <v>-97.070803331240668</v>
      </c>
      <c r="G225" s="1">
        <v>0</v>
      </c>
      <c r="H225" s="16">
        <f t="shared" si="30"/>
        <v>1</v>
      </c>
      <c r="I225" s="16">
        <f t="shared" si="31"/>
        <v>6.2831853071795898</v>
      </c>
      <c r="J225" s="16">
        <f>(CALCULATIONS!$C$127*10^3)/((CALCULATIONS!$C$123*10^6)+(CALCULATIONS!$C$127*10^3))</f>
        <v>6.1032863849765258E-2</v>
      </c>
      <c r="K225" s="16" t="str">
        <f t="shared" si="20"/>
        <v>117.516781604321-110.865905539513i</v>
      </c>
      <c r="L225" s="1">
        <f t="shared" si="21"/>
        <v>44.166645171647339</v>
      </c>
      <c r="M225" s="1" t="str">
        <f t="shared" si="22"/>
        <v>7.17238573171912-6.76646371837403i</v>
      </c>
      <c r="N225" s="1">
        <f t="shared" si="23"/>
        <v>19.877920149009313</v>
      </c>
      <c r="O225" s="1">
        <f t="shared" si="24"/>
        <v>-43.331924961812362</v>
      </c>
      <c r="P225" s="1" t="str">
        <f>IMPRODUCT(42*10^-6,IMDIV((COMPLEX(1,I225*(CALCULATIONS!C267*10^3)*(CALCULATIONS!C265*10^-6))),IMPRODUCT((COMPLEX(0,data!I225*((CALCULATIONS!C265*10^-6)+(CALCULATIONS!C271*10^-6)))),(COMPLEX(1,I225*((CALCULATIONS!C267*10^3)*(CALCULATIONS!C265*10^-6)*(CALCULATIONS!C271*10^-6))/((CALCULATIONS!C265*10^-6)+(CALCULATIONS!C271*10^-6)))))))</f>
        <v>1.31210564482752-1.57102772263306i</v>
      </c>
      <c r="Q225" s="1">
        <f t="shared" si="25"/>
        <v>6.2218804002621564</v>
      </c>
      <c r="R225" s="1" t="str">
        <f t="shared" si="26"/>
        <v>-1.21937428028736-20.1463320623477i</v>
      </c>
      <c r="S225" s="1">
        <f t="shared" si="27"/>
        <v>26.099800549271464</v>
      </c>
      <c r="T225" s="1">
        <f t="shared" si="28"/>
        <v>86.536348518047916</v>
      </c>
    </row>
    <row r="226" spans="1:20" x14ac:dyDescent="0.25">
      <c r="A226" s="1">
        <v>3.1</v>
      </c>
      <c r="B226" s="1">
        <f t="shared" si="29"/>
        <v>1258.92541179417</v>
      </c>
      <c r="C226" s="1">
        <f t="shared" si="16"/>
        <v>7910.0616502201201</v>
      </c>
      <c r="D226" s="1" t="str">
        <f t="shared" si="17"/>
        <v>-0.540388345447709-3.46056690942059i</v>
      </c>
      <c r="E226" s="1">
        <f t="shared" si="18"/>
        <v>10.887575853435836</v>
      </c>
      <c r="F226" s="1">
        <f t="shared" si="19"/>
        <v>-98.875402583398198</v>
      </c>
      <c r="G226" s="1">
        <v>0.1</v>
      </c>
      <c r="H226" s="16">
        <f t="shared" si="30"/>
        <v>1.2589254117941699</v>
      </c>
      <c r="I226" s="16">
        <f t="shared" si="31"/>
        <v>7.9100616502201202</v>
      </c>
      <c r="J226" s="16">
        <f>(CALCULATIONS!$C$127*10^3)/((CALCULATIONS!$C$123*10^6)+(CALCULATIONS!$C$127*10^3))</f>
        <v>6.1032863849765258E-2</v>
      </c>
      <c r="K226" s="16" t="str">
        <f t="shared" si="20"/>
        <v>92.1390959568684-109.431427958359i</v>
      </c>
      <c r="L226" s="1">
        <f t="shared" si="21"/>
        <v>43.110085748691979</v>
      </c>
      <c r="M226" s="1" t="str">
        <f t="shared" si="22"/>
        <v>5.62351289877601-6.67891344346792i</v>
      </c>
      <c r="N226" s="1">
        <f t="shared" si="23"/>
        <v>18.821360726053953</v>
      </c>
      <c r="O226" s="1">
        <f t="shared" si="24"/>
        <v>-49.903285111944101</v>
      </c>
      <c r="P226" s="1" t="str">
        <f>IMPRODUCT(42*10^-6,IMDIV((COMPLEX(1,I226*(CALCULATIONS!C267*10^3)*(CALCULATIONS!C265*10^-6))),IMPRODUCT((COMPLEX(0,data!I226*((CALCULATIONS!C265*10^-6)+(CALCULATIONS!C271*10^-6)))),(COMPLEX(1,I226*((CALCULATIONS!C267*10^3)*(CALCULATIONS!C265*10^-6)*(CALCULATIONS!C271*10^-6))/((CALCULATIONS!C265*10^-6)+(CALCULATIONS!C271*10^-6)))))))</f>
        <v>1.31020025420277-1.27822674579984i</v>
      </c>
      <c r="Q226" s="1">
        <f t="shared" si="25"/>
        <v>5.2510810827129619</v>
      </c>
      <c r="R226" s="1" t="str">
        <f t="shared" si="26"/>
        <v>-1.16923776683392-15.9388386839959i</v>
      </c>
      <c r="S226" s="1">
        <f t="shared" si="27"/>
        <v>24.072441808766946</v>
      </c>
      <c r="T226" s="1">
        <f t="shared" si="28"/>
        <v>85.80442421152685</v>
      </c>
    </row>
    <row r="227" spans="1:20" x14ac:dyDescent="0.25">
      <c r="A227" s="1">
        <v>3.2</v>
      </c>
      <c r="B227" s="1">
        <f t="shared" si="29"/>
        <v>1584.8931924611099</v>
      </c>
      <c r="C227" s="1">
        <f t="shared" si="16"/>
        <v>9958.1776203206191</v>
      </c>
      <c r="D227" s="1" t="str">
        <f t="shared" si="17"/>
        <v>-0.53296786620411-2.71107980477853i</v>
      </c>
      <c r="E227" s="1">
        <f t="shared" si="18"/>
        <v>8.8275263657285521</v>
      </c>
      <c r="F227" s="1">
        <f t="shared" si="19"/>
        <v>-101.12187842232613</v>
      </c>
      <c r="G227" s="1">
        <v>0.2</v>
      </c>
      <c r="H227" s="16">
        <f t="shared" si="30"/>
        <v>1.58489319246111</v>
      </c>
      <c r="I227" s="16">
        <f t="shared" si="31"/>
        <v>9.9581776203206207</v>
      </c>
      <c r="J227" s="16">
        <f>(CALCULATIONS!$C$127*10^3)/((CALCULATIONS!$C$123*10^6)+(CALCULATIONS!$C$127*10^3))</f>
        <v>6.1032863849765258E-2</v>
      </c>
      <c r="K227" s="16" t="str">
        <f t="shared" si="20"/>
        <v>68.6449074805646-102.637589436875i</v>
      </c>
      <c r="L227" s="1">
        <f t="shared" si="21"/>
        <v>41.831729521262069</v>
      </c>
      <c r="M227" s="1" t="str">
        <f t="shared" si="22"/>
        <v>4.18959529224103-6.2642660219689i</v>
      </c>
      <c r="N227" s="1">
        <f t="shared" si="23"/>
        <v>17.543004498624054</v>
      </c>
      <c r="O227" s="1">
        <f t="shared" si="24"/>
        <v>-56.225051935085553</v>
      </c>
      <c r="P227" s="1" t="str">
        <f>IMPRODUCT(42*10^-6,IMDIV((COMPLEX(1,I227*(CALCULATIONS!C267*10^3)*(CALCULATIONS!C265*10^-6))),IMPRODUCT((COMPLEX(0,data!I227*((CALCULATIONS!C265*10^-6)+(CALCULATIONS!C271*10^-6)))),(COMPLEX(1,I227*((CALCULATIONS!C267*10^3)*(CALCULATIONS!C265*10^-6)*(CALCULATIONS!C271*10^-6))/((CALCULATIONS!C265*10^-6)+(CALCULATIONS!C271*10^-6)))))))</f>
        <v>1.30719172307397-1.05335307603885i</v>
      </c>
      <c r="Q227" s="1">
        <f t="shared" si="25"/>
        <v>4.4998766809358299</v>
      </c>
      <c r="R227" s="1" t="str">
        <f t="shared" si="26"/>
        <v>-1.12187959431945-12.6017197834912i</v>
      </c>
      <c r="S227" s="1">
        <f t="shared" si="27"/>
        <v>22.042881179559863</v>
      </c>
      <c r="T227" s="1">
        <f t="shared" si="28"/>
        <v>84.912602943099856</v>
      </c>
    </row>
    <row r="228" spans="1:20" x14ac:dyDescent="0.25">
      <c r="A228" s="1">
        <v>3.3</v>
      </c>
      <c r="B228" s="1">
        <f t="shared" si="29"/>
        <v>1995.26231496888</v>
      </c>
      <c r="C228" s="1">
        <f t="shared" si="16"/>
        <v>12536.6028613816</v>
      </c>
      <c r="D228" s="1" t="str">
        <f t="shared" si="17"/>
        <v>-0.521615753867346-2.10761837444926i</v>
      </c>
      <c r="E228" s="1">
        <f t="shared" si="18"/>
        <v>6.7340231082662658</v>
      </c>
      <c r="F228" s="1">
        <f t="shared" si="19"/>
        <v>-103.9008437312644</v>
      </c>
      <c r="G228" s="1">
        <v>0.3</v>
      </c>
      <c r="H228" s="16">
        <f t="shared" si="30"/>
        <v>1.99526231496888</v>
      </c>
      <c r="I228" s="16">
        <f t="shared" si="31"/>
        <v>12.536602861381599</v>
      </c>
      <c r="J228" s="16">
        <f>(CALCULATIONS!$C$127*10^3)/((CALCULATIONS!$C$123*10^6)+(CALCULATIONS!$C$127*10^3))</f>
        <v>6.1032863849765258E-2</v>
      </c>
      <c r="K228" s="16" t="str">
        <f t="shared" si="20"/>
        <v>48.8880062756159-92.0238599886284i</v>
      </c>
      <c r="L228" s="1">
        <f t="shared" si="21"/>
        <v>40.35766954568993</v>
      </c>
      <c r="M228" s="1" t="str">
        <f t="shared" si="22"/>
        <v>2.98377503090613-5.61647971761582i</v>
      </c>
      <c r="N228" s="1">
        <f t="shared" si="23"/>
        <v>16.068944523051911</v>
      </c>
      <c r="O228" s="1">
        <f t="shared" si="24"/>
        <v>-62.020365052746705</v>
      </c>
      <c r="P228" s="1" t="str">
        <f>IMPRODUCT(42*10^-6,IMDIV((COMPLEX(1,I228*(CALCULATIONS!C267*10^3)*(CALCULATIONS!C265*10^-6))),IMPRODUCT((COMPLEX(0,data!I228*((CALCULATIONS!C265*10^-6)+(CALCULATIONS!C271*10^-6)))),(COMPLEX(1,I228*((CALCULATIONS!C267*10^3)*(CALCULATIONS!C265*10^-6)*(CALCULATIONS!C271*10^-6))/((CALCULATIONS!C265*10^-6)+(CALCULATIONS!C271*10^-6)))))))</f>
        <v>1.30245172173613-0.884291217588807i</v>
      </c>
      <c r="Q228" s="1">
        <f t="shared" si="25"/>
        <v>3.9416289194461385</v>
      </c>
      <c r="R228" s="1" t="str">
        <f t="shared" si="26"/>
        <v>-1.08038076177637-9.95371973339584i</v>
      </c>
      <c r="S228" s="1">
        <f t="shared" si="27"/>
        <v>20.01057344249805</v>
      </c>
      <c r="T228" s="1">
        <f t="shared" si="28"/>
        <v>83.805343440749411</v>
      </c>
    </row>
    <row r="229" spans="1:20" x14ac:dyDescent="0.25">
      <c r="A229" s="1">
        <v>3.4</v>
      </c>
      <c r="B229" s="1">
        <f t="shared" si="29"/>
        <v>2511.8864315095798</v>
      </c>
      <c r="C229" s="1">
        <f t="shared" si="16"/>
        <v>15782.6479197648</v>
      </c>
      <c r="D229" s="1" t="str">
        <f t="shared" si="17"/>
        <v>-0.504582112260799-1.61947081959989i</v>
      </c>
      <c r="E229" s="1">
        <f t="shared" si="18"/>
        <v>4.5898346177313591</v>
      </c>
      <c r="F229" s="1">
        <f t="shared" si="19"/>
        <v>-107.30558312214407</v>
      </c>
      <c r="G229" s="1">
        <v>0.4</v>
      </c>
      <c r="H229" s="16">
        <f t="shared" si="30"/>
        <v>2.5118864315095801</v>
      </c>
      <c r="I229" s="16">
        <f t="shared" si="31"/>
        <v>15.7826479197648</v>
      </c>
      <c r="J229" s="16">
        <f>(CALCULATIONS!$C$127*10^3)/((CALCULATIONS!$C$123*10^6)+(CALCULATIONS!$C$127*10^3))</f>
        <v>6.1032863849765258E-2</v>
      </c>
      <c r="K229" s="16" t="str">
        <f t="shared" si="20"/>
        <v>33.5734001715762-79.5597567345313i</v>
      </c>
      <c r="L229" s="1">
        <f t="shared" si="21"/>
        <v>38.725599550866278</v>
      </c>
      <c r="M229" s="1" t="str">
        <f t="shared" si="22"/>
        <v>2.0490807616455-4.85575980069909i</v>
      </c>
      <c r="N229" s="1">
        <f t="shared" si="23"/>
        <v>14.436874528228254</v>
      </c>
      <c r="O229" s="1">
        <f t="shared" si="24"/>
        <v>-67.120754734220398</v>
      </c>
      <c r="P229" s="1" t="str">
        <f>IMPRODUCT(42*10^-6,IMDIV((COMPLEX(1,I229*(CALCULATIONS!C267*10^3)*(CALCULATIONS!C265*10^-6))),IMPRODUCT((COMPLEX(0,data!I229*((CALCULATIONS!C265*10^-6)+(CALCULATIONS!C271*10^-6)))),(COMPLEX(1,I229*((CALCULATIONS!C267*10^3)*(CALCULATIONS!C265*10^-6)*(CALCULATIONS!C271*10^-6))/((CALCULATIONS!C265*10^-6)+(CALCULATIONS!C271*10^-6)))))))</f>
        <v>1.29500933772613-0.761762818819783i</v>
      </c>
      <c r="Q229" s="1">
        <f t="shared" si="25"/>
        <v>3.5359539527726858</v>
      </c>
      <c r="R229" s="1" t="str">
        <f t="shared" si="26"/>
        <v>-1.04535855320643-7.84916782064096i</v>
      </c>
      <c r="S229" s="1">
        <f t="shared" si="27"/>
        <v>17.972828481000942</v>
      </c>
      <c r="T229" s="1">
        <f t="shared" si="28"/>
        <v>82.413942921385271</v>
      </c>
    </row>
    <row r="230" spans="1:20" x14ac:dyDescent="0.25">
      <c r="A230" s="1">
        <v>3.5</v>
      </c>
      <c r="B230" s="1">
        <f t="shared" si="29"/>
        <v>3162.27766016838</v>
      </c>
      <c r="C230" s="1">
        <f t="shared" si="16"/>
        <v>19869.176531592198</v>
      </c>
      <c r="D230" s="1" t="str">
        <f t="shared" si="17"/>
        <v>-0.479752276330246-1.22308973330601i</v>
      </c>
      <c r="E230" s="1">
        <f t="shared" si="18"/>
        <v>2.370686553734854</v>
      </c>
      <c r="F230" s="1">
        <f t="shared" si="19"/>
        <v>-111.41740476190009</v>
      </c>
      <c r="G230" s="1">
        <v>0.5</v>
      </c>
      <c r="H230" s="16">
        <f t="shared" si="30"/>
        <v>3.16227766016838</v>
      </c>
      <c r="I230" s="16">
        <f t="shared" si="31"/>
        <v>19.869176531592199</v>
      </c>
      <c r="J230" s="16">
        <f>(CALCULATIONS!$C$127*10^3)/((CALCULATIONS!$C$123*10^6)+(CALCULATIONS!$C$127*10^3))</f>
        <v>6.1032863849765258E-2</v>
      </c>
      <c r="K230" s="16" t="str">
        <f t="shared" si="20"/>
        <v>22.4348841152825-66.9301733966957i</v>
      </c>
      <c r="L230" s="1">
        <f t="shared" si="21"/>
        <v>36.974884586866075</v>
      </c>
      <c r="M230" s="1" t="str">
        <f t="shared" si="22"/>
        <v>1.3692652276933-4.08494016036171i</v>
      </c>
      <c r="N230" s="1">
        <f t="shared" si="23"/>
        <v>12.686159564228054</v>
      </c>
      <c r="O230" s="1">
        <f t="shared" si="24"/>
        <v>-71.468932891429034</v>
      </c>
      <c r="P230" s="1" t="str">
        <f>IMPRODUCT(42*10^-6,IMDIV((COMPLEX(1,I230*(CALCULATIONS!C267*10^3)*(CALCULATIONS!C265*10^-6))),IMPRODUCT((COMPLEX(0,data!I230*((CALCULATIONS!C265*10^-6)+(CALCULATIONS!C271*10^-6)))),(COMPLEX(1,I230*((CALCULATIONS!C267*10^3)*(CALCULATIONS!C265*10^-6)*(CALCULATIONS!C271*10^-6))/((CALCULATIONS!C265*10^-6)+(CALCULATIONS!C271*10^-6)))))))</f>
        <v>1.2833866131726-0.678707453463257i</v>
      </c>
      <c r="Q230" s="1">
        <f t="shared" si="25"/>
        <v>3.2381394807011956</v>
      </c>
      <c r="R230" s="1" t="str">
        <f t="shared" si="26"/>
        <v>-1.01518267068457-6.17188803322286i</v>
      </c>
      <c r="S230" s="1">
        <f t="shared" si="27"/>
        <v>15.924299044929253</v>
      </c>
      <c r="T230" s="1">
        <f t="shared" si="28"/>
        <v>80.659345563262278</v>
      </c>
    </row>
    <row r="231" spans="1:20" x14ac:dyDescent="0.25">
      <c r="A231" s="1">
        <v>3.6</v>
      </c>
      <c r="B231" s="1">
        <f t="shared" si="29"/>
        <v>3981.0717055349701</v>
      </c>
      <c r="C231" s="1">
        <f t="shared" si="16"/>
        <v>25013.811247045702</v>
      </c>
      <c r="D231" s="1" t="str">
        <f t="shared" si="17"/>
        <v>-0.445043117515368-0.901246032371367i</v>
      </c>
      <c r="E231" s="1">
        <f t="shared" si="18"/>
        <v>4.4537004840277075E-2</v>
      </c>
      <c r="F231" s="1">
        <f t="shared" si="19"/>
        <v>-116.28055995391445</v>
      </c>
      <c r="G231" s="1">
        <v>0.6</v>
      </c>
      <c r="H231" s="16">
        <f t="shared" si="30"/>
        <v>3.98107170553497</v>
      </c>
      <c r="I231" s="16">
        <f t="shared" si="31"/>
        <v>25.013811247045702</v>
      </c>
      <c r="J231" s="16">
        <f>(CALCULATIONS!$C$127*10^3)/((CALCULATIONS!$C$123*10^6)+(CALCULATIONS!$C$127*10^3))</f>
        <v>6.1032863849765258E-2</v>
      </c>
      <c r="K231" s="16" t="str">
        <f t="shared" si="20"/>
        <v>14.7035526957808-55.2230516040804i</v>
      </c>
      <c r="L231" s="1">
        <f t="shared" si="21"/>
        <v>35.139869104587881</v>
      </c>
      <c r="M231" s="1" t="str">
        <f t="shared" si="22"/>
        <v>0.897399929789438-3.3704209899204i</v>
      </c>
      <c r="N231" s="1">
        <f t="shared" si="23"/>
        <v>10.851144081949862</v>
      </c>
      <c r="O231" s="1">
        <f t="shared" si="24"/>
        <v>-75.090471156129382</v>
      </c>
      <c r="P231" s="1" t="str">
        <f>IMPRODUCT(42*10^-6,IMDIV((COMPLEX(1,I231*(CALCULATIONS!C267*10^3)*(CALCULATIONS!C265*10^-6))),IMPRODUCT((COMPLEX(0,data!I231*((CALCULATIONS!C265*10^-6)+(CALCULATIONS!C271*10^-6)))),(COMPLEX(1,I231*((CALCULATIONS!C267*10^3)*(CALCULATIONS!C265*10^-6)*(CALCULATIONS!C271*10^-6))/((CALCULATIONS!C265*10^-6)+(CALCULATIONS!C271*10^-6)))))))</f>
        <v>1.26538719442185-0.629675782816277i</v>
      </c>
      <c r="Q231" s="1">
        <f t="shared" si="25"/>
        <v>3.0052947464889628</v>
      </c>
      <c r="R231" s="1" t="str">
        <f t="shared" si="26"/>
        <v>-0.986714095817917-4.82995856374533i</v>
      </c>
      <c r="S231" s="1">
        <f t="shared" si="27"/>
        <v>13.856438828438833</v>
      </c>
      <c r="T231" s="1">
        <f t="shared" si="28"/>
        <v>78.453897406748723</v>
      </c>
    </row>
    <row r="232" spans="1:20" x14ac:dyDescent="0.25">
      <c r="A232" s="1">
        <v>3.7</v>
      </c>
      <c r="B232" s="1">
        <f t="shared" si="29"/>
        <v>5011.8723362727296</v>
      </c>
      <c r="C232" s="1">
        <f t="shared" si="16"/>
        <v>31490.522624728601</v>
      </c>
      <c r="D232" s="1" t="str">
        <f t="shared" si="17"/>
        <v>-0.399262129292268-0.642243023276166i</v>
      </c>
      <c r="E232" s="1">
        <f t="shared" si="18"/>
        <v>-2.4269027012034137</v>
      </c>
      <c r="F232" s="1">
        <f t="shared" si="19"/>
        <v>-121.86790676587628</v>
      </c>
      <c r="G232" s="1">
        <v>0.7</v>
      </c>
      <c r="H232" s="16">
        <f t="shared" si="30"/>
        <v>5.0118723362727202</v>
      </c>
      <c r="I232" s="16">
        <f t="shared" si="31"/>
        <v>31.490522624728602</v>
      </c>
      <c r="J232" s="16">
        <f>(CALCULATIONS!$C$127*10^3)/((CALCULATIONS!$C$123*10^6)+(CALCULATIONS!$C$127*10^3))</f>
        <v>6.1032863849765258E-2</v>
      </c>
      <c r="K232" s="16" t="str">
        <f t="shared" si="20"/>
        <v>9.50964084187775-44.9637199760981i</v>
      </c>
      <c r="L232" s="1">
        <f t="shared" si="21"/>
        <v>33.247287430122327</v>
      </c>
      <c r="M232" s="1" t="str">
        <f t="shared" si="22"/>
        <v>0.580400614762492-2.74426459948017i</v>
      </c>
      <c r="N232" s="1">
        <f t="shared" si="23"/>
        <v>8.958562407484326</v>
      </c>
      <c r="O232" s="1">
        <f t="shared" si="24"/>
        <v>-78.058158907923755</v>
      </c>
      <c r="P232" s="1" t="str">
        <f>IMPRODUCT(42*10^-6,IMDIV((COMPLEX(1,I232*(CALCULATIONS!C267*10^3)*(CALCULATIONS!C265*10^-6))),IMPRODUCT((COMPLEX(0,data!I232*((CALCULATIONS!C265*10^-6)+(CALCULATIONS!C271*10^-6)))),(COMPLEX(1,I232*((CALCULATIONS!C267*10^3)*(CALCULATIONS!C265*10^-6)*(CALCULATIONS!C271*10^-6))/((CALCULATIONS!C265*10^-6)+(CALCULATIONS!C271*10^-6)))))))</f>
        <v>1.23787174405551-0.6101334104476i</v>
      </c>
      <c r="Q232" s="1">
        <f t="shared" si="25"/>
        <v>2.7980132491572651</v>
      </c>
      <c r="R232" s="1" t="str">
        <f t="shared" si="26"/>
        <v>-0.955905998004517-3.75116941241924i</v>
      </c>
      <c r="S232" s="1">
        <f t="shared" si="27"/>
        <v>11.756575656641598</v>
      </c>
      <c r="T232" s="1">
        <f t="shared" si="28"/>
        <v>75.703658706545355</v>
      </c>
    </row>
    <row r="233" spans="1:20" x14ac:dyDescent="0.25">
      <c r="A233" s="1">
        <v>3.8</v>
      </c>
      <c r="B233" s="1">
        <f t="shared" si="29"/>
        <v>6309.5734448019302</v>
      </c>
      <c r="C233" s="1">
        <f t="shared" si="16"/>
        <v>39644.219162950001</v>
      </c>
      <c r="D233" s="1" t="str">
        <f t="shared" si="17"/>
        <v>-0.343293058599449-0.438638046473866i</v>
      </c>
      <c r="E233" s="1">
        <f t="shared" si="18"/>
        <v>-5.0828336661961027</v>
      </c>
      <c r="F233" s="1">
        <f t="shared" si="19"/>
        <v>-128.04794244340522</v>
      </c>
      <c r="G233" s="1">
        <v>0.8</v>
      </c>
      <c r="H233" s="16">
        <f t="shared" si="30"/>
        <v>6.3095734448019298</v>
      </c>
      <c r="I233" s="16">
        <f t="shared" si="31"/>
        <v>39.644219162950002</v>
      </c>
      <c r="J233" s="16">
        <f>(CALCULATIONS!$C$127*10^3)/((CALCULATIONS!$C$123*10^6)+(CALCULATIONS!$C$127*10^3))</f>
        <v>6.1032863849765258E-2</v>
      </c>
      <c r="K233" s="16" t="str">
        <f t="shared" si="20"/>
        <v>6.09650674592529-36.2893490714113i</v>
      </c>
      <c r="L233" s="1">
        <f t="shared" si="21"/>
        <v>31.316456868025199</v>
      </c>
      <c r="M233" s="1" t="str">
        <f t="shared" si="22"/>
        <v>0.372087266183234-2.21484290107205i</v>
      </c>
      <c r="N233" s="1">
        <f t="shared" si="23"/>
        <v>7.0277318453871773</v>
      </c>
      <c r="O233" s="1">
        <f t="shared" si="24"/>
        <v>-80.463523779270616</v>
      </c>
      <c r="P233" s="1" t="str">
        <f>IMPRODUCT(42*10^-6,IMDIV((COMPLEX(1,I233*(CALCULATIONS!C267*10^3)*(CALCULATIONS!C265*10^-6))),IMPRODUCT((COMPLEX(0,data!I233*((CALCULATIONS!C265*10^-6)+(CALCULATIONS!C271*10^-6)))),(COMPLEX(1,I233*((CALCULATIONS!C267*10^3)*(CALCULATIONS!C265*10^-6)*(CALCULATIONS!C271*10^-6))/((CALCULATIONS!C265*10^-6)+(CALCULATIONS!C271*10^-6)))))))</f>
        <v>1.19663219812253-0.615560890434475i</v>
      </c>
      <c r="Q233" s="1">
        <f t="shared" si="25"/>
        <v>2.5788099707492846</v>
      </c>
      <c r="R233" s="1" t="str">
        <f t="shared" si="26"/>
        <v>-0.918119065130141-2.87939469809701i</v>
      </c>
      <c r="S233" s="1">
        <f t="shared" si="27"/>
        <v>9.6065418161364651</v>
      </c>
      <c r="T233" s="1">
        <f t="shared" si="28"/>
        <v>72.314683360020297</v>
      </c>
    </row>
    <row r="234" spans="1:20" x14ac:dyDescent="0.25">
      <c r="A234" s="1">
        <v>3.9</v>
      </c>
      <c r="B234" s="1">
        <f t="shared" si="29"/>
        <v>7943.2823472428099</v>
      </c>
      <c r="C234" s="1">
        <f t="shared" si="16"/>
        <v>49909.114934974998</v>
      </c>
      <c r="D234" s="1" t="str">
        <f t="shared" si="17"/>
        <v>-0.280887604029802-0.285084660693976i</v>
      </c>
      <c r="E234" s="1">
        <f t="shared" si="18"/>
        <v>-7.9541581509068564</v>
      </c>
      <c r="F234" s="1">
        <f t="shared" si="19"/>
        <v>-134.57512189142923</v>
      </c>
      <c r="G234" s="1">
        <v>0.9</v>
      </c>
      <c r="H234" s="16">
        <f t="shared" si="30"/>
        <v>7.9432823472428202</v>
      </c>
      <c r="I234" s="16">
        <f t="shared" si="31"/>
        <v>49.909114934975001</v>
      </c>
      <c r="J234" s="16">
        <f>(CALCULATIONS!$C$127*10^3)/((CALCULATIONS!$C$123*10^6)+(CALCULATIONS!$C$127*10^3))</f>
        <v>6.1032863849765258E-2</v>
      </c>
      <c r="K234" s="16" t="str">
        <f t="shared" si="20"/>
        <v>3.8859993899793-29.1206354522458i</v>
      </c>
      <c r="L234" s="1">
        <f t="shared" si="21"/>
        <v>29.360673561966699</v>
      </c>
      <c r="M234" s="1" t="str">
        <f t="shared" si="22"/>
        <v>0.237173671688877-1.77731577877557i</v>
      </c>
      <c r="N234" s="1">
        <f t="shared" si="23"/>
        <v>5.0719485393286998</v>
      </c>
      <c r="O234" s="1">
        <f t="shared" si="24"/>
        <v>-82.399077811811125</v>
      </c>
      <c r="P234" s="1" t="str">
        <f>IMPRODUCT(42*10^-6,IMDIV((COMPLEX(1,I234*(CALCULATIONS!C267*10^3)*(CALCULATIONS!C265*10^-6))),IMPRODUCT((COMPLEX(0,data!I234*((CALCULATIONS!C265*10^-6)+(CALCULATIONS!C271*10^-6)))),(COMPLEX(1,I234*((CALCULATIONS!C267*10^3)*(CALCULATIONS!C265*10^-6)*(CALCULATIONS!C271*10^-6))/((CALCULATIONS!C265*10^-6)+(CALCULATIONS!C271*10^-6)))))))</f>
        <v>1.13661816447989-0.640288200602686i</v>
      </c>
      <c r="Q234" s="1">
        <f t="shared" si="25"/>
        <v>2.3092633979375607</v>
      </c>
      <c r="R234" s="1" t="str">
        <f t="shared" si="26"/>
        <v>-0.868418418517004-2.17198890164904i</v>
      </c>
      <c r="S234" s="1">
        <f t="shared" si="27"/>
        <v>7.3812119372662686</v>
      </c>
      <c r="T234" s="1">
        <f t="shared" si="28"/>
        <v>68.207167566902697</v>
      </c>
    </row>
    <row r="235" spans="1:20" x14ac:dyDescent="0.25">
      <c r="A235" s="1">
        <v>4</v>
      </c>
      <c r="B235" s="1">
        <f t="shared" si="29"/>
        <v>10000</v>
      </c>
      <c r="C235" s="1">
        <f t="shared" si="16"/>
        <v>62831.8530717959</v>
      </c>
      <c r="D235" s="1" t="str">
        <f t="shared" si="17"/>
        <v>-0.218061904859242-0.175800893547225i</v>
      </c>
      <c r="E235" s="1">
        <f t="shared" si="18"/>
        <v>-11.053685871759189</v>
      </c>
      <c r="F235" s="1">
        <f t="shared" si="19"/>
        <v>-141.12433769994885</v>
      </c>
      <c r="G235" s="17">
        <v>1</v>
      </c>
      <c r="H235" s="18">
        <f t="shared" si="30"/>
        <v>10</v>
      </c>
      <c r="I235" s="18">
        <f t="shared" si="31"/>
        <v>62.831853071795898</v>
      </c>
      <c r="J235" s="18">
        <f>(CALCULATIONS!$C$127*10^3)/((CALCULATIONS!$C$123*10^6)+(CALCULATIONS!$C$127*10^3))</f>
        <v>6.1032863849765258E-2</v>
      </c>
      <c r="K235" s="16" t="str">
        <f t="shared" si="20"/>
        <v>2.4678340688927-23.2816670975775i</v>
      </c>
      <c r="L235" s="17">
        <f t="shared" si="21"/>
        <v>27.388805835556131</v>
      </c>
      <c r="M235" s="1" t="str">
        <f t="shared" si="22"/>
        <v>0.15061898073054-1.42094681816201i</v>
      </c>
      <c r="N235" s="17">
        <f t="shared" si="23"/>
        <v>3.1000808129181276</v>
      </c>
      <c r="O235" s="1">
        <f t="shared" si="24"/>
        <v>-83.949297078357233</v>
      </c>
      <c r="P235" s="17" t="str">
        <f>IMPRODUCT(42*10^-6,IMDIV((COMPLEX(1,I235*(CALCULATIONS!C267*10^3)*(CALCULATIONS!C265*10^-6))),IMPRODUCT((COMPLEX(0,data!I235*((CALCULATIONS!C265*10^-6)+(CALCULATIONS!C271*10^-6)))),(COMPLEX(1,I235*((CALCULATIONS!C267*10^3)*(CALCULATIONS!C265*10^-6)*(CALCULATIONS!C271*10^-6))/((CALCULATIONS!C265*10^-6)+(CALCULATIONS!C271*10^-6)))))))</f>
        <v>1.05292507472496-0.676233775240283i</v>
      </c>
      <c r="Q235" s="1">
        <f t="shared" si="25"/>
        <v>1.9477604179018422</v>
      </c>
      <c r="R235" s="1" t="str">
        <f t="shared" si="26"/>
        <v>-0.802301729720663-1.59800417665569i</v>
      </c>
      <c r="S235" s="1">
        <f t="shared" si="27"/>
        <v>5.0478412308199889</v>
      </c>
      <c r="T235" s="1">
        <f t="shared" si="28"/>
        <v>63.340381193041537</v>
      </c>
    </row>
    <row r="236" spans="1:20" x14ac:dyDescent="0.25">
      <c r="A236" s="1">
        <v>4.0999999999999996</v>
      </c>
      <c r="B236" s="1">
        <f t="shared" si="29"/>
        <v>12589.2541179417</v>
      </c>
      <c r="C236" s="1">
        <f t="shared" si="16"/>
        <v>79100.616502201199</v>
      </c>
      <c r="D236" s="1" t="str">
        <f t="shared" si="17"/>
        <v>-0.160991815284088-0.10309677352462i</v>
      </c>
      <c r="E236" s="1">
        <f t="shared" si="18"/>
        <v>-14.37144591327959</v>
      </c>
      <c r="F236" s="1">
        <f t="shared" si="19"/>
        <v>-147.36510308756266</v>
      </c>
      <c r="G236" s="1">
        <v>1.1000000000000001</v>
      </c>
      <c r="H236" s="16">
        <f t="shared" si="30"/>
        <v>12.589254117941699</v>
      </c>
      <c r="I236" s="16">
        <f t="shared" si="31"/>
        <v>79.100616502201206</v>
      </c>
      <c r="J236" s="16">
        <f>(CALCULATIONS!$C$127*10^3)/((CALCULATIONS!$C$123*10^6)+(CALCULATIONS!$C$127*10^3))</f>
        <v>6.1032863849765258E-2</v>
      </c>
      <c r="K236" s="16" t="str">
        <f t="shared" si="20"/>
        <v>1.5635090679485-18.5694279018692i</v>
      </c>
      <c r="L236" s="1">
        <f t="shared" si="21"/>
        <v>25.406650324900642</v>
      </c>
      <c r="M236" s="1" t="str">
        <f t="shared" si="22"/>
        <v>0.0954254360719742-1.13334536490282i</v>
      </c>
      <c r="N236" s="1">
        <f t="shared" si="23"/>
        <v>1.1179253022626594</v>
      </c>
      <c r="O236" s="1">
        <f t="shared" si="24"/>
        <v>-85.187160601891094</v>
      </c>
      <c r="P236" s="1" t="str">
        <f>IMPRODUCT(42*10^-6,IMDIV((COMPLEX(1,I236*(CALCULATIONS!C267*10^3)*(CALCULATIONS!C265*10^-6))),IMPRODUCT((COMPLEX(0,data!I236*((CALCULATIONS!C265*10^-6)+(CALCULATIONS!C271*10^-6)))),(COMPLEX(1,I236*((CALCULATIONS!C267*10^3)*(CALCULATIONS!C265*10^-6)*(CALCULATIONS!C271*10^-6))/((CALCULATIONS!C265*10^-6)+(CALCULATIONS!C271*10^-6)))))))</f>
        <v>0.94288888914134-0.712220903986103i</v>
      </c>
      <c r="Q236" s="1">
        <f t="shared" si="25"/>
        <v>1.4497813876631629</v>
      </c>
      <c r="R236" s="1" t="str">
        <f t="shared" si="26"/>
        <v>-0.717216676905815-1.13658274246916i</v>
      </c>
      <c r="S236" s="1">
        <f t="shared" si="27"/>
        <v>2.5677066899258438</v>
      </c>
      <c r="T236" s="1">
        <f t="shared" si="28"/>
        <v>57.746885809300224</v>
      </c>
    </row>
    <row r="237" spans="1:20" x14ac:dyDescent="0.25">
      <c r="A237" s="1">
        <v>4.2</v>
      </c>
      <c r="B237" s="1">
        <f t="shared" si="29"/>
        <v>15848.931924611101</v>
      </c>
      <c r="C237" s="1">
        <f t="shared" ref="C237:C265" si="32">2*PI()*B237</f>
        <v>99581.776203206202</v>
      </c>
      <c r="D237" s="1" t="str">
        <f t="shared" ref="D237:D265" si="33">IMDIV((7*Rsense*Vout_nom)/((1/(fsw/kHz)*kHz)*M1M2_calc*Lbst*mH),IMPRODUCT((COMPLEX(0,C237*1)),COMPLEX(1,(C237/(2*PI()*f_iavgactual*kHz)))))</f>
        <v>-0.113791985843607-0.0578832560700951i</v>
      </c>
      <c r="E237" s="1">
        <f t="shared" ref="E237:E265" si="34">20*LOG(IMABS(D237))</f>
        <v>-17.878367120915641</v>
      </c>
      <c r="F237" s="1">
        <f t="shared" ref="F237:F265" si="35">180/PI()*IMARGUMENT(D237)</f>
        <v>-153.03865037528001</v>
      </c>
      <c r="G237" s="1">
        <v>1.2</v>
      </c>
      <c r="H237" s="16">
        <f t="shared" si="30"/>
        <v>15.848931924611099</v>
      </c>
      <c r="I237" s="16">
        <f t="shared" si="31"/>
        <v>99.581776203206104</v>
      </c>
      <c r="J237" s="16">
        <f>(CALCULATIONS!$C$127*10^3)/((CALCULATIONS!$C$123*10^6)+(CALCULATIONS!$C$127*10^3))</f>
        <v>6.1032863849765258E-2</v>
      </c>
      <c r="K237" s="16" t="str">
        <f t="shared" ref="K237:K265" si="36">IMDIV((M_3*Vout_nom)/(M1M2_calc),COMPLEX(1,(I237/(2*PI()*fPWM_PSpole))))</f>
        <v>0.98907699302425-14.7886393991023i</v>
      </c>
      <c r="L237" s="1">
        <f t="shared" ref="L237:L265" si="37">20*LOG(IMABS(K237))</f>
        <v>23.417947279399126</v>
      </c>
      <c r="M237" s="1" t="str">
        <f t="shared" si="22"/>
        <v>0.0603662014521843-0.902593014968685i</v>
      </c>
      <c r="N237" s="1">
        <f t="shared" ref="N237:N265" si="38">20*LOG(IMABS(M237))</f>
        <v>-0.87077774323889412</v>
      </c>
      <c r="O237" s="1">
        <f t="shared" ref="O237:O265" si="39">180/PI()*IMARGUMENT(M237)</f>
        <v>-86.173706991260133</v>
      </c>
      <c r="P237" s="1" t="str">
        <f>IMPRODUCT(42*10^-6,IMDIV((COMPLEX(1,I237*(CALCULATIONS!C267*10^3)*(CALCULATIONS!C265*10^-6))),IMPRODUCT((COMPLEX(0,data!I237*((CALCULATIONS!C265*10^-6)+(CALCULATIONS!C271*10^-6)))),(COMPLEX(1,I237*((CALCULATIONS!C267*10^3)*(CALCULATIONS!C265*10^-6)*(CALCULATIONS!C271*10^-6))/((CALCULATIONS!C265*10^-6)+(CALCULATIONS!C271*10^-6)))))))</f>
        <v>0.808909499631219-0.735058834286679i</v>
      </c>
      <c r="Q237" s="1">
        <f t="shared" ref="Q237:Q265" si="40">20*LOG(IMABS(P237))</f>
        <v>0.77239258184941528</v>
      </c>
      <c r="R237" s="1" t="str">
        <f t="shared" si="26"/>
        <v>-0.614628175606857-0.77448877377871i</v>
      </c>
      <c r="S237" s="1">
        <f t="shared" ref="S237:S265" si="41">20*LOG(IMABS(R237))</f>
        <v>-9.8385161389476561E-2</v>
      </c>
      <c r="T237" s="1">
        <f t="shared" ref="T237:T265" si="42">(180/PI()*IMARGUMENT(R237))+180</f>
        <v>51.564761700565839</v>
      </c>
    </row>
    <row r="238" spans="1:20" x14ac:dyDescent="0.25">
      <c r="A238" s="1">
        <v>4.3</v>
      </c>
      <c r="B238" s="1">
        <f t="shared" si="29"/>
        <v>19952.623149688799</v>
      </c>
      <c r="C238" s="1">
        <f t="shared" si="32"/>
        <v>125366.028613816</v>
      </c>
      <c r="D238" s="1" t="str">
        <f t="shared" si="33"/>
        <v>-0.0776916650538385-0.0313917629203105i</v>
      </c>
      <c r="E238" s="1">
        <f t="shared" si="34"/>
        <v>-21.5357395952331</v>
      </c>
      <c r="F238" s="1">
        <f t="shared" si="35"/>
        <v>-157.99854646815092</v>
      </c>
      <c r="G238" s="1">
        <v>1.3</v>
      </c>
      <c r="H238" s="16">
        <f t="shared" si="30"/>
        <v>19.952623149688801</v>
      </c>
      <c r="I238" s="16">
        <f t="shared" si="31"/>
        <v>125.366028613816</v>
      </c>
      <c r="J238" s="16">
        <f>(CALCULATIONS!$C$127*10^3)/((CALCULATIONS!$C$123*10^6)+(CALCULATIONS!$C$127*10^3))</f>
        <v>6.1032863849765258E-2</v>
      </c>
      <c r="K238" s="16" t="str">
        <f t="shared" si="36"/>
        <v>0.625092667351416-11.7663706259497i</v>
      </c>
      <c r="L238" s="1">
        <f t="shared" si="37"/>
        <v>21.425090325499841</v>
      </c>
      <c r="M238" s="1" t="str">
        <f t="shared" si="22"/>
        <v>0.0381511956599456-0.718135296419465i</v>
      </c>
      <c r="N238" s="1">
        <f t="shared" si="38"/>
        <v>-2.8636346971381794</v>
      </c>
      <c r="O238" s="1">
        <f t="shared" si="39"/>
        <v>-86.958999851533306</v>
      </c>
      <c r="P238" s="1" t="str">
        <f>IMPRODUCT(42*10^-6,IMDIV((COMPLEX(1,I238*(CALCULATIONS!C267*10^3)*(CALCULATIONS!C265*10^-6))),IMPRODUCT((COMPLEX(0,data!I238*((CALCULATIONS!C265*10^-6)+(CALCULATIONS!C271*10^-6)))),(COMPLEX(1,I238*((CALCULATIONS!C267*10^3)*(CALCULATIONS!C265*10^-6)*(CALCULATIONS!C271*10^-6))/((CALCULATIONS!C265*10^-6)+(CALCULATIONS!C271*10^-6)))))))</f>
        <v>0.660223953239689-0.733137931663607i</v>
      </c>
      <c r="Q238" s="1">
        <f t="shared" si="40"/>
        <v>-0.11714504967257147</v>
      </c>
      <c r="R238" s="1" t="str">
        <f t="shared" si="26"/>
        <v>-0.501303892652168-0.502100213039641i</v>
      </c>
      <c r="S238" s="1">
        <f t="shared" si="41"/>
        <v>-2.9807797468107506</v>
      </c>
      <c r="T238" s="1">
        <f t="shared" si="42"/>
        <v>45.045470999674791</v>
      </c>
    </row>
    <row r="239" spans="1:20" x14ac:dyDescent="0.25">
      <c r="A239" s="1">
        <v>4.4000000000000004</v>
      </c>
      <c r="B239" s="1">
        <f t="shared" si="29"/>
        <v>25118.864315095801</v>
      </c>
      <c r="C239" s="1">
        <f t="shared" si="32"/>
        <v>157826.479197648</v>
      </c>
      <c r="D239" s="1" t="str">
        <f t="shared" si="33"/>
        <v>-0.0516977766370186-0.0165925502841787i</v>
      </c>
      <c r="E239" s="1">
        <f t="shared" si="34"/>
        <v>-25.304765228603703</v>
      </c>
      <c r="F239" s="1">
        <f t="shared" si="35"/>
        <v>-162.20581742345323</v>
      </c>
      <c r="G239" s="1">
        <v>1.4</v>
      </c>
      <c r="H239" s="16">
        <f t="shared" si="30"/>
        <v>25.118864315095799</v>
      </c>
      <c r="I239" s="16">
        <f t="shared" si="31"/>
        <v>157.82647919764801</v>
      </c>
      <c r="J239" s="16">
        <f>(CALCULATIONS!$C$127*10^3)/((CALCULATIONS!$C$123*10^6)+(CALCULATIONS!$C$127*10^3))</f>
        <v>6.1032863849765258E-2</v>
      </c>
      <c r="K239" s="16" t="str">
        <f t="shared" si="36"/>
        <v>0.394816873828202-9.35607781038914i</v>
      </c>
      <c r="L239" s="1">
        <f t="shared" si="37"/>
        <v>19.429603335389814</v>
      </c>
      <c r="M239" s="1" t="str">
        <f t="shared" si="22"/>
        <v>0.0240968045059466-0.57102822316929i</v>
      </c>
      <c r="N239" s="1">
        <f t="shared" si="38"/>
        <v>-4.859121687248205</v>
      </c>
      <c r="O239" s="1">
        <f t="shared" si="39"/>
        <v>-87.583610604574318</v>
      </c>
      <c r="P239" s="1" t="str">
        <f>IMPRODUCT(42*10^-6,IMDIV((COMPLEX(1,I239*(CALCULATIONS!C267*10^3)*(CALCULATIONS!C265*10^-6))),IMPRODUCT((COMPLEX(0,data!I239*((CALCULATIONS!C265*10^-6)+(CALCULATIONS!C271*10^-6)))),(COMPLEX(1,I239*((CALCULATIONS!C267*10^3)*(CALCULATIONS!C265*10^-6)*(CALCULATIONS!C271*10^-6))/((CALCULATIONS!C265*10^-6)+(CALCULATIONS!C271*10^-6)))))))</f>
        <v>0.511278739689178-0.701120605796503i</v>
      </c>
      <c r="Q239" s="1">
        <f t="shared" si="40"/>
        <v>-1.2321883520020944</v>
      </c>
      <c r="R239" s="1" t="str">
        <f t="shared" si="26"/>
        <v>-0.388039469917016-0.308849356441914i</v>
      </c>
      <c r="S239" s="1">
        <f t="shared" si="41"/>
        <v>-6.0913100392503132</v>
      </c>
      <c r="T239" s="1">
        <f t="shared" si="42"/>
        <v>38.517072297501642</v>
      </c>
    </row>
    <row r="240" spans="1:20" x14ac:dyDescent="0.25">
      <c r="A240" s="1">
        <v>4.5</v>
      </c>
      <c r="B240" s="1">
        <f t="shared" si="29"/>
        <v>31622.7766016838</v>
      </c>
      <c r="C240" s="1">
        <f t="shared" si="32"/>
        <v>198691.76531592201</v>
      </c>
      <c r="D240" s="1" t="str">
        <f t="shared" si="33"/>
        <v>-0.0337834410860688-0.00861281581906988i</v>
      </c>
      <c r="E240" s="1">
        <f t="shared" si="34"/>
        <v>-29.152445051812471</v>
      </c>
      <c r="F240" s="1">
        <f t="shared" si="35"/>
        <v>-165.69757198955895</v>
      </c>
      <c r="G240" s="1">
        <v>1.5</v>
      </c>
      <c r="H240" s="16">
        <f t="shared" si="30"/>
        <v>31.6227766016838</v>
      </c>
      <c r="I240" s="16">
        <f t="shared" si="31"/>
        <v>198.691765315922</v>
      </c>
      <c r="J240" s="16">
        <f>(CALCULATIONS!$C$127*10^3)/((CALCULATIONS!$C$123*10^6)+(CALCULATIONS!$C$127*10^3))</f>
        <v>6.1032863849765258E-2</v>
      </c>
      <c r="K240" s="16" t="str">
        <f t="shared" si="36"/>
        <v>0.249276132842318-7.43667527278603i</v>
      </c>
      <c r="L240" s="1">
        <f t="shared" si="37"/>
        <v>17.432453267037488</v>
      </c>
      <c r="M240" s="1" t="str">
        <f t="shared" si="22"/>
        <v>0.0152140362767612-0.453881589418866i</v>
      </c>
      <c r="N240" s="1">
        <f t="shared" si="38"/>
        <v>-6.8562717556005248</v>
      </c>
      <c r="O240" s="1">
        <f t="shared" si="39"/>
        <v>-88.08017369836989</v>
      </c>
      <c r="P240" s="1" t="str">
        <f>IMPRODUCT(42*10^-6,IMDIV((COMPLEX(1,I240*(CALCULATIONS!C267*10^3)*(CALCULATIONS!C265*10^-6))),IMPRODUCT((COMPLEX(0,data!I240*((CALCULATIONS!C265*10^-6)+(CALCULATIONS!C271*10^-6)))),(COMPLEX(1,I240*((CALCULATIONS!C267*10^3)*(CALCULATIONS!C265*10^-6)*(CALCULATIONS!C271*10^-6))/((CALCULATIONS!C265*10^-6)+(CALCULATIONS!C271*10^-6)))))))</f>
        <v>0.376619061656373-0.642212639189827i</v>
      </c>
      <c r="Q240" s="1">
        <f t="shared" si="40"/>
        <v>-2.562715818657499</v>
      </c>
      <c r="R240" s="1" t="str">
        <f t="shared" si="26"/>
        <v>-0.285758597353804-0.180711104700065i</v>
      </c>
      <c r="S240" s="1">
        <f t="shared" si="41"/>
        <v>-9.4189875742580149</v>
      </c>
      <c r="T240" s="1">
        <f t="shared" si="42"/>
        <v>32.308883494594824</v>
      </c>
    </row>
    <row r="241" spans="1:20" x14ac:dyDescent="0.25">
      <c r="A241" s="1">
        <v>4.5999999999999996</v>
      </c>
      <c r="B241" s="1">
        <f t="shared" si="29"/>
        <v>39810.717055349698</v>
      </c>
      <c r="C241" s="1">
        <f t="shared" si="32"/>
        <v>250138.11247045701</v>
      </c>
      <c r="D241" s="1" t="str">
        <f t="shared" si="33"/>
        <v>-0.0218070537587089-0.004416093610765i</v>
      </c>
      <c r="E241" s="1">
        <f t="shared" si="34"/>
        <v>-33.053513944807463</v>
      </c>
      <c r="F241" s="1">
        <f t="shared" si="35"/>
        <v>-168.55198672634296</v>
      </c>
      <c r="G241" s="1">
        <v>1.6</v>
      </c>
      <c r="H241" s="16">
        <f t="shared" si="30"/>
        <v>39.810717055349699</v>
      </c>
      <c r="I241" s="16">
        <f t="shared" si="31"/>
        <v>250.138112470457</v>
      </c>
      <c r="J241" s="16">
        <f>(CALCULATIONS!$C$127*10^3)/((CALCULATIONS!$C$123*10^6)+(CALCULATIONS!$C$127*10^3))</f>
        <v>6.1032863849765258E-2</v>
      </c>
      <c r="K241" s="16" t="str">
        <f t="shared" si="36"/>
        <v>0.157347777650249-5.90960880322511i</v>
      </c>
      <c r="L241" s="1">
        <f t="shared" si="37"/>
        <v>15.434252415088718</v>
      </c>
      <c r="M241" s="1" t="str">
        <f t="shared" si="22"/>
        <v>0.00960338549039078-0.360680349492612i</v>
      </c>
      <c r="N241" s="1">
        <f t="shared" si="38"/>
        <v>-8.8544726075493081</v>
      </c>
      <c r="O241" s="1">
        <f t="shared" si="39"/>
        <v>-88.474817139608319</v>
      </c>
      <c r="P241" s="1" t="str">
        <f>IMPRODUCT(42*10^-6,IMDIV((COMPLEX(1,I241*(CALCULATIONS!C267*10^3)*(CALCULATIONS!C265*10^-6))),IMPRODUCT((COMPLEX(0,data!I241*((CALCULATIONS!C265*10^-6)+(CALCULATIONS!C271*10^-6)))),(COMPLEX(1,I241*((CALCULATIONS!C267*10^3)*(CALCULATIONS!C265*10^-6)*(CALCULATIONS!C271*10^-6))/((CALCULATIONS!C265*10^-6)+(CALCULATIONS!C271*10^-6)))))))</f>
        <v>0.265706269281226-0.565930454326087i</v>
      </c>
      <c r="Q241" s="1">
        <f t="shared" si="40"/>
        <v>-4.0795977173804099</v>
      </c>
      <c r="R241" s="1" t="str">
        <f t="shared" si="26"/>
        <v>-0.201568314323725-0.101269878380376i</v>
      </c>
      <c r="S241" s="1">
        <f t="shared" si="41"/>
        <v>-12.934070324929705</v>
      </c>
      <c r="T241" s="1">
        <f t="shared" si="42"/>
        <v>26.67539765772392</v>
      </c>
    </row>
    <row r="242" spans="1:20" x14ac:dyDescent="0.25">
      <c r="A242" s="1">
        <v>4.7</v>
      </c>
      <c r="B242" s="1">
        <f t="shared" si="29"/>
        <v>50118.723362727302</v>
      </c>
      <c r="C242" s="1">
        <f t="shared" si="32"/>
        <v>314905.22624728602</v>
      </c>
      <c r="D242" s="1" t="str">
        <f t="shared" si="33"/>
        <v>-0.0139623046398074-0.00224594122153985i</v>
      </c>
      <c r="E242" s="1">
        <f t="shared" si="34"/>
        <v>-36.989912791514428</v>
      </c>
      <c r="F242" s="1">
        <f t="shared" si="35"/>
        <v>-170.86182551735797</v>
      </c>
      <c r="G242" s="1">
        <v>1.7</v>
      </c>
      <c r="H242" s="16">
        <f t="shared" si="30"/>
        <v>50.118723362727202</v>
      </c>
      <c r="I242" s="16">
        <f t="shared" si="31"/>
        <v>314.90522624728601</v>
      </c>
      <c r="J242" s="16">
        <f>(CALCULATIONS!$C$127*10^3)/((CALCULATIONS!$C$123*10^6)+(CALCULATIONS!$C$127*10^3))</f>
        <v>6.1032863849765258E-2</v>
      </c>
      <c r="K242" s="16" t="str">
        <f t="shared" si="36"/>
        <v>0.0993056984587787-4.69539669455033i</v>
      </c>
      <c r="L242" s="1">
        <f t="shared" si="37"/>
        <v>13.435387984382386</v>
      </c>
      <c r="M242" s="1" t="str">
        <f t="shared" si="22"/>
        <v>0.00606091117354048-0.286573507179128i</v>
      </c>
      <c r="N242" s="1">
        <f t="shared" si="38"/>
        <v>-10.853337038255637</v>
      </c>
      <c r="O242" s="1">
        <f t="shared" si="39"/>
        <v>-88.788398586383508</v>
      </c>
      <c r="P242" s="1" t="str">
        <f>IMPRODUCT(42*10^-6,IMDIV((COMPLEX(1,I242*(CALCULATIONS!C267*10^3)*(CALCULATIONS!C265*10^-6))),IMPRODUCT((COMPLEX(0,data!I242*((CALCULATIONS!C265*10^-6)+(CALCULATIONS!C271*10^-6)))),(COMPLEX(1,I242*((CALCULATIONS!C267*10^3)*(CALCULATIONS!C265*10^-6)*(CALCULATIONS!C271*10^-6))/((CALCULATIONS!C265*10^-6)+(CALCULATIONS!C271*10^-6)))))))</f>
        <v>0.181153734220354-0.48332554764249i</v>
      </c>
      <c r="Q242" s="1">
        <f t="shared" si="40"/>
        <v>-5.7443275151153603</v>
      </c>
      <c r="R242" s="1" t="str">
        <f t="shared" si="26"/>
        <v>-0.137410340605316-0.0548432541662864i</v>
      </c>
      <c r="S242" s="1">
        <f t="shared" si="41"/>
        <v>-16.597664553371018</v>
      </c>
      <c r="T242" s="1">
        <f t="shared" si="42"/>
        <v>21.757944573177923</v>
      </c>
    </row>
    <row r="243" spans="1:20" x14ac:dyDescent="0.25">
      <c r="A243" s="1">
        <v>4.8</v>
      </c>
      <c r="B243" s="1">
        <f t="shared" si="29"/>
        <v>63095.734448019299</v>
      </c>
      <c r="C243" s="1">
        <f t="shared" si="32"/>
        <v>396442.19162950001</v>
      </c>
      <c r="D243" s="1" t="str">
        <f t="shared" si="33"/>
        <v>-0.00889239060118772-0.00113621314037074i</v>
      </c>
      <c r="E243" s="1">
        <f t="shared" si="34"/>
        <v>-40.949298577066784</v>
      </c>
      <c r="F243" s="1">
        <f t="shared" si="35"/>
        <v>-172.71856430296651</v>
      </c>
      <c r="G243" s="1">
        <v>1.8</v>
      </c>
      <c r="H243" s="16">
        <f t="shared" si="30"/>
        <v>63.0957344480193</v>
      </c>
      <c r="I243" s="16">
        <f t="shared" si="31"/>
        <v>396.44219162949997</v>
      </c>
      <c r="J243" s="16">
        <f>(CALCULATIONS!$C$127*10^3)/((CALCULATIONS!$C$123*10^6)+(CALCULATIONS!$C$127*10^3))</f>
        <v>6.1032863849765258E-2</v>
      </c>
      <c r="K243" s="16" t="str">
        <f t="shared" si="36"/>
        <v>0.0626680000628514-3.7303016705559i</v>
      </c>
      <c r="L243" s="1">
        <f t="shared" si="37"/>
        <v>11.436104632974672</v>
      </c>
      <c r="M243" s="1" t="str">
        <f t="shared" si="22"/>
        <v>0.00382480751557309-0.22767099397759i</v>
      </c>
      <c r="N243" s="1">
        <f t="shared" si="38"/>
        <v>-12.852620389663352</v>
      </c>
      <c r="O243" s="1">
        <f t="shared" si="39"/>
        <v>-89.037537846764437</v>
      </c>
      <c r="P243" s="1" t="str">
        <f>IMPRODUCT(42*10^-6,IMDIV((COMPLEX(1,I243*(CALCULATIONS!C267*10^3)*(CALCULATIONS!C265*10^-6))),IMPRODUCT((COMPLEX(0,data!I243*((CALCULATIONS!C265*10^-6)+(CALCULATIONS!C271*10^-6)))),(COMPLEX(1,I243*((CALCULATIONS!C267*10^3)*(CALCULATIONS!C265*10^-6)*(CALCULATIONS!C271*10^-6))/((CALCULATIONS!C265*10^-6)+(CALCULATIONS!C271*10^-6)))))))</f>
        <v>0.120420607042486-0.403198824492672i</v>
      </c>
      <c r="Q243" s="1">
        <f t="shared" si="40"/>
        <v>-7.5185399565751094</v>
      </c>
      <c r="R243" s="1" t="str">
        <f t="shared" si="26"/>
        <v>-0.0913360914999965-0.0289584371949374i</v>
      </c>
      <c r="S243" s="1">
        <f t="shared" si="41"/>
        <v>-20.371160346238465</v>
      </c>
      <c r="T243" s="1">
        <f t="shared" si="42"/>
        <v>17.591405997952364</v>
      </c>
    </row>
    <row r="244" spans="1:20" x14ac:dyDescent="0.25">
      <c r="A244" s="1">
        <v>4.9000000000000004</v>
      </c>
      <c r="B244" s="1">
        <f t="shared" si="29"/>
        <v>79432.823472428194</v>
      </c>
      <c r="C244" s="1">
        <f t="shared" si="32"/>
        <v>499091.14934975101</v>
      </c>
      <c r="D244" s="1" t="str">
        <f t="shared" si="33"/>
        <v>-0.00564417922908048-0.000572851524002344i</v>
      </c>
      <c r="E244" s="1">
        <f t="shared" si="34"/>
        <v>-44.923475924991926</v>
      </c>
      <c r="F244" s="1">
        <f t="shared" si="35"/>
        <v>-174.20465505769312</v>
      </c>
      <c r="G244" s="1">
        <v>1.9</v>
      </c>
      <c r="H244" s="16">
        <f t="shared" si="30"/>
        <v>79.432823472428097</v>
      </c>
      <c r="I244" s="16">
        <f t="shared" si="31"/>
        <v>499.09114934975003</v>
      </c>
      <c r="J244" s="16">
        <f>(CALCULATIONS!$C$127*10^3)/((CALCULATIONS!$C$123*10^6)+(CALCULATIONS!$C$127*10^3))</f>
        <v>6.1032863849765258E-2</v>
      </c>
      <c r="K244" s="16" t="str">
        <f t="shared" si="36"/>
        <v>0.0395449525478873-2.96339250616691i</v>
      </c>
      <c r="L244" s="1">
        <f t="shared" si="37"/>
        <v>9.4365568685222119</v>
      </c>
      <c r="M244" s="1" t="str">
        <f t="shared" si="22"/>
        <v>0.00241354170480063-0.1808643313623i</v>
      </c>
      <c r="N244" s="1">
        <f t="shared" si="38"/>
        <v>-14.852168154115793</v>
      </c>
      <c r="O244" s="1">
        <f t="shared" si="39"/>
        <v>-89.235462599108615</v>
      </c>
      <c r="P244" s="1" t="str">
        <f>IMPRODUCT(42*10^-6,IMDIV((COMPLEX(1,I244*(CALCULATIONS!C267*10^3)*(CALCULATIONS!C265*10^-6))),IMPRODUCT((COMPLEX(0,data!I244*((CALCULATIONS!C265*10^-6)+(CALCULATIONS!C271*10^-6)))),(COMPLEX(1,I244*((CALCULATIONS!C267*10^3)*(CALCULATIONS!C265*10^-6)*(CALCULATIONS!C271*10^-6))/((CALCULATIONS!C265*10^-6)+(CALCULATIONS!C271*10^-6)))))))</f>
        <v>0.0786370401312216-0.330808314207337i</v>
      </c>
      <c r="Q244" s="1">
        <f t="shared" si="40"/>
        <v>-9.3697482983438629</v>
      </c>
      <c r="R244" s="1" t="str">
        <f t="shared" si="26"/>
        <v>-0.0596416307823009-0.0150210553462779i</v>
      </c>
      <c r="S244" s="1">
        <f t="shared" si="41"/>
        <v>-24.221916452459652</v>
      </c>
      <c r="T244" s="1">
        <f t="shared" si="42"/>
        <v>14.136242639799178</v>
      </c>
    </row>
    <row r="245" spans="1:20" x14ac:dyDescent="0.25">
      <c r="A245" s="1">
        <v>5</v>
      </c>
      <c r="B245" s="1">
        <f t="shared" si="29"/>
        <v>100000</v>
      </c>
      <c r="C245" s="1">
        <f t="shared" si="32"/>
        <v>628318.53071795905</v>
      </c>
      <c r="D245" s="1" t="str">
        <f t="shared" si="33"/>
        <v>-0.00357468708304024-0.000288190265858608i</v>
      </c>
      <c r="E245" s="1">
        <f t="shared" si="34"/>
        <v>-48.907103576645419</v>
      </c>
      <c r="F245" s="1">
        <f t="shared" si="35"/>
        <v>-175.39079903726798</v>
      </c>
      <c r="G245" s="1">
        <v>2</v>
      </c>
      <c r="H245" s="16">
        <f t="shared" si="30"/>
        <v>100</v>
      </c>
      <c r="I245" s="16">
        <f t="shared" si="31"/>
        <v>628.31853071795899</v>
      </c>
      <c r="J245" s="16">
        <f>(CALCULATIONS!$C$127*10^3)/((CALCULATIONS!$C$123*10^6)+(CALCULATIONS!$C$127*10^3))</f>
        <v>6.1032863849765258E-2</v>
      </c>
      <c r="K245" s="16" t="str">
        <f t="shared" si="36"/>
        <v>0.0249528177893844-2.35406101342795i</v>
      </c>
      <c r="L245" s="1">
        <f t="shared" si="37"/>
        <v>7.4368422340944775</v>
      </c>
      <c r="M245" s="1" t="str">
        <f t="shared" si="22"/>
        <v>0.0015229419308075-0.143675085326588i</v>
      </c>
      <c r="N245" s="1">
        <f t="shared" si="38"/>
        <v>-16.851882788543573</v>
      </c>
      <c r="O245" s="1">
        <f t="shared" si="39"/>
        <v>-89.39269305424591</v>
      </c>
      <c r="P245" s="1" t="str">
        <f>IMPRODUCT(42*10^-6,IMDIV((COMPLEX(1,I245*(CALCULATIONS!C267*10^3)*(CALCULATIONS!C265*10^-6))),IMPRODUCT((COMPLEX(0,data!I245*((CALCULATIONS!C265*10^-6)+(CALCULATIONS!C271*10^-6)))),(COMPLEX(1,I245*((CALCULATIONS!C267*10^3)*(CALCULATIONS!C265*10^-6)*(CALCULATIONS!C271*10^-6))/((CALCULATIONS!C265*10^-6)+(CALCULATIONS!C271*10^-6)))))))</f>
        <v>0.0507359780265269-0.268358884331417i</v>
      </c>
      <c r="Q245" s="1">
        <f t="shared" si="40"/>
        <v>-11.27315723189257</v>
      </c>
      <c r="R245" s="1" t="str">
        <f t="shared" si="26"/>
        <v>-0.0384792176561272-0.00769819096954218i</v>
      </c>
      <c r="S245" s="1">
        <f t="shared" si="41"/>
        <v>-28.125040020436138</v>
      </c>
      <c r="T245" s="1">
        <f t="shared" si="42"/>
        <v>11.313293347418664</v>
      </c>
    </row>
    <row r="246" spans="1:20" x14ac:dyDescent="0.25">
      <c r="A246" s="1">
        <v>5.0999999999999996</v>
      </c>
      <c r="B246" s="1">
        <f t="shared" si="29"/>
        <v>125892.54117941701</v>
      </c>
      <c r="C246" s="1">
        <f t="shared" si="32"/>
        <v>791006.16502201103</v>
      </c>
      <c r="D246" s="1" t="str">
        <f t="shared" si="33"/>
        <v>-0.00226086297241703-0.000144782315440179i</v>
      </c>
      <c r="E246" s="1">
        <f t="shared" si="34"/>
        <v>-52.896741474883207</v>
      </c>
      <c r="F246" s="1">
        <f t="shared" si="35"/>
        <v>-176.33586648126163</v>
      </c>
      <c r="G246" s="1">
        <v>2.1</v>
      </c>
      <c r="H246" s="16">
        <f t="shared" si="30"/>
        <v>125.89254117941699</v>
      </c>
      <c r="I246" s="16">
        <f t="shared" si="31"/>
        <v>791.00616502201206</v>
      </c>
      <c r="J246" s="16">
        <f>(CALCULATIONS!$C$127*10^3)/((CALCULATIONS!$C$123*10^6)+(CALCULATIONS!$C$127*10^3))</f>
        <v>6.1032863849765258E-2</v>
      </c>
      <c r="K246" s="16" t="str">
        <f t="shared" si="36"/>
        <v>0.0157448164331386-1.86997465877802i</v>
      </c>
      <c r="L246" s="1">
        <f t="shared" si="37"/>
        <v>5.4370222972465481</v>
      </c>
      <c r="M246" s="1" t="str">
        <f t="shared" si="22"/>
        <v>0.000960951237703295-0.11412990875171i</v>
      </c>
      <c r="N246" s="1">
        <f t="shared" si="38"/>
        <v>-18.851702725391483</v>
      </c>
      <c r="O246" s="1">
        <f t="shared" si="39"/>
        <v>-89.517592278760731</v>
      </c>
      <c r="P246" s="1" t="str">
        <f>IMPRODUCT(42*10^-6,IMDIV((COMPLEX(1,I246*(CALCULATIONS!C267*10^3)*(CALCULATIONS!C265*10^-6))),IMPRODUCT((COMPLEX(0,data!I246*((CALCULATIONS!C265*10^-6)+(CALCULATIONS!C271*10^-6)))),(COMPLEX(1,I246*((CALCULATIONS!C267*10^3)*(CALCULATIONS!C265*10^-6)*(CALCULATIONS!C271*10^-6))/((CALCULATIONS!C265*10^-6)+(CALCULATIONS!C271*10^-6)))))))</f>
        <v>0.0324744966250953-0.21607046962678i</v>
      </c>
      <c r="Q246" s="1">
        <f t="shared" si="40"/>
        <v>-13.211081174143967</v>
      </c>
      <c r="R246" s="1" t="str">
        <f t="shared" si="26"/>
        <v>-0.0246288965747179-0.00391394452179883i</v>
      </c>
      <c r="S246" s="1">
        <f t="shared" si="41"/>
        <v>-32.062783899535432</v>
      </c>
      <c r="T246" s="1">
        <f t="shared" si="42"/>
        <v>9.0297510129935858</v>
      </c>
    </row>
    <row r="247" spans="1:20" x14ac:dyDescent="0.25">
      <c r="A247" s="1">
        <v>5.2</v>
      </c>
      <c r="B247" s="1">
        <f t="shared" si="29"/>
        <v>158489.319246111</v>
      </c>
      <c r="C247" s="1">
        <f t="shared" si="32"/>
        <v>995817.76203206205</v>
      </c>
      <c r="D247" s="1" t="str">
        <f t="shared" si="33"/>
        <v>-0.001428661429684-0.0000726725830108302i</v>
      </c>
      <c r="E247" s="1">
        <f t="shared" si="34"/>
        <v>-56.890190686663715</v>
      </c>
      <c r="F247" s="1">
        <f t="shared" si="35"/>
        <v>-177.08801088335778</v>
      </c>
      <c r="G247" s="1">
        <v>2.2000000000000002</v>
      </c>
      <c r="H247" s="16">
        <f t="shared" si="30"/>
        <v>158.48931924611099</v>
      </c>
      <c r="I247" s="16">
        <f t="shared" si="31"/>
        <v>995.81776203206198</v>
      </c>
      <c r="J247" s="16">
        <f>(CALCULATIONS!$C$127*10^3)/((CALCULATIONS!$C$123*10^6)+(CALCULATIONS!$C$127*10^3))</f>
        <v>6.1032863849765258E-2</v>
      </c>
      <c r="K247" s="16" t="str">
        <f t="shared" si="36"/>
        <v>0.00993456746132762-1.4854125291339i</v>
      </c>
      <c r="L247" s="1">
        <f t="shared" si="37"/>
        <v>3.4371359132561539</v>
      </c>
      <c r="M247" s="1" t="str">
        <f t="shared" si="22"/>
        <v>0.000606335103273517-0.0906589806513648i</v>
      </c>
      <c r="N247" s="1">
        <f t="shared" si="38"/>
        <v>-20.851589109381866</v>
      </c>
      <c r="O247" s="1">
        <f t="shared" si="39"/>
        <v>-89.616806584778388</v>
      </c>
      <c r="P247" s="1" t="str">
        <f>IMPRODUCT(42*10^-6,IMDIV((COMPLEX(1,I247*(CALCULATIONS!C267*10^3)*(CALCULATIONS!C265*10^-6))),IMPRODUCT((COMPLEX(0,data!I247*((CALCULATIONS!C265*10^-6)+(CALCULATIONS!C271*10^-6)))),(COMPLEX(1,I247*((CALCULATIONS!C267*10^3)*(CALCULATIONS!C265*10^-6)*(CALCULATIONS!C271*10^-6))/((CALCULATIONS!C265*10^-6)+(CALCULATIONS!C271*10^-6)))))))</f>
        <v>0.0206784245697349-0.173121649168646i</v>
      </c>
      <c r="Q247" s="1">
        <f t="shared" si="40"/>
        <v>-15.171449506814989</v>
      </c>
      <c r="R247" s="1" t="str">
        <f t="shared" si="26"/>
        <v>-0.0156824941876156-0.00197965462599585i</v>
      </c>
      <c r="S247" s="1">
        <f t="shared" si="41"/>
        <v>-36.023038616196864</v>
      </c>
      <c r="T247" s="1">
        <f t="shared" si="42"/>
        <v>7.1945873895619457</v>
      </c>
    </row>
    <row r="248" spans="1:20" x14ac:dyDescent="0.25">
      <c r="A248" s="1">
        <v>5.3</v>
      </c>
      <c r="B248" s="1">
        <f t="shared" si="29"/>
        <v>199526.23149688801</v>
      </c>
      <c r="C248" s="1">
        <f t="shared" si="32"/>
        <v>1253660.2861381599</v>
      </c>
      <c r="D248" s="1" t="str">
        <f t="shared" si="33"/>
        <v>-0.000902283791430499-0.0000364572941612168i</v>
      </c>
      <c r="E248" s="1">
        <f t="shared" si="34"/>
        <v>-60.886052328819893</v>
      </c>
      <c r="F248" s="1">
        <f t="shared" si="35"/>
        <v>-177.68618979852479</v>
      </c>
      <c r="G248" s="1">
        <v>2.2999999999999998</v>
      </c>
      <c r="H248" s="16">
        <f t="shared" si="30"/>
        <v>199.52623149688799</v>
      </c>
      <c r="I248" s="16">
        <f t="shared" si="31"/>
        <v>1253.66028613816</v>
      </c>
      <c r="J248" s="16">
        <f>(CALCULATIONS!$C$127*10^3)/((CALCULATIONS!$C$123*10^6)+(CALCULATIONS!$C$127*10^3))</f>
        <v>6.1032863849765258E-2</v>
      </c>
      <c r="K248" s="16" t="str">
        <f t="shared" si="36"/>
        <v>0.00626839177457442-1.17992458879433i</v>
      </c>
      <c r="L248" s="1">
        <f t="shared" si="37"/>
        <v>1.4372076016412962</v>
      </c>
      <c r="M248" s="1" t="str">
        <f t="shared" si="22"/>
        <v>0.000382577901734589-0.0720141767808746i</v>
      </c>
      <c r="N248" s="1">
        <f t="shared" si="38"/>
        <v>-22.851517420996721</v>
      </c>
      <c r="O248" s="1">
        <f t="shared" si="39"/>
        <v>-89.695616976122793</v>
      </c>
      <c r="P248" s="1" t="str">
        <f>IMPRODUCT(42*10^-6,IMDIV((COMPLEX(1,I248*(CALCULATIONS!C267*10^3)*(CALCULATIONS!C265*10^-6))),IMPRODUCT((COMPLEX(0,data!I248*((CALCULATIONS!C265*10^-6)+(CALCULATIONS!C271*10^-6)))),(COMPLEX(1,I248*((CALCULATIONS!C267*10^3)*(CALCULATIONS!C265*10^-6)*(CALCULATIONS!C271*10^-6))/((CALCULATIONS!C265*10^-6)+(CALCULATIONS!C271*10^-6)))))))</f>
        <v>0.0131233395651834-0.138273841142398i</v>
      </c>
      <c r="Q248" s="1">
        <f t="shared" si="40"/>
        <v>-17.146255115116599</v>
      </c>
      <c r="R248" s="1" t="str">
        <f t="shared" si="26"/>
        <v>-0.00995265614048462-0.000997967011411604i</v>
      </c>
      <c r="S248" s="1">
        <f t="shared" si="41"/>
        <v>-39.997772536113324</v>
      </c>
      <c r="T248" s="1">
        <f t="shared" si="42"/>
        <v>5.7259902417097805</v>
      </c>
    </row>
    <row r="249" spans="1:20" x14ac:dyDescent="0.25">
      <c r="A249" s="1">
        <v>5.4</v>
      </c>
      <c r="B249" s="1">
        <f t="shared" si="29"/>
        <v>251188.643150958</v>
      </c>
      <c r="C249" s="1">
        <f t="shared" si="32"/>
        <v>1578264.79197648</v>
      </c>
      <c r="D249" s="1" t="str">
        <f t="shared" si="33"/>
        <v>-0.000569645238479908-0.0000182829279680333i</v>
      </c>
      <c r="E249" s="1">
        <f t="shared" si="34"/>
        <v>-64.883439171074599</v>
      </c>
      <c r="F249" s="1">
        <f t="shared" si="35"/>
        <v>-178.16170649725106</v>
      </c>
      <c r="G249" s="1">
        <v>2.4</v>
      </c>
      <c r="H249" s="16">
        <f t="shared" si="30"/>
        <v>251.188643150958</v>
      </c>
      <c r="I249" s="16">
        <f t="shared" si="31"/>
        <v>1578.26479197648</v>
      </c>
      <c r="J249" s="16">
        <f>(CALCULATIONS!$C$127*10^3)/((CALCULATIONS!$C$123*10^6)+(CALCULATIONS!$C$127*10^3))</f>
        <v>6.1032863849765258E-2</v>
      </c>
      <c r="K249" s="16" t="str">
        <f t="shared" si="36"/>
        <v>0.00395512902175007-0.937257177455992i</v>
      </c>
      <c r="L249" s="1">
        <f t="shared" si="37"/>
        <v>-0.56274716543671122</v>
      </c>
      <c r="M249" s="1" t="str">
        <f t="shared" si="22"/>
        <v>0.000241392851092727-0.0572034897038868i</v>
      </c>
      <c r="N249" s="1">
        <f t="shared" si="38"/>
        <v>-24.851472188074734</v>
      </c>
      <c r="O249" s="1">
        <f t="shared" si="39"/>
        <v>-89.758219130558501</v>
      </c>
      <c r="P249" s="1" t="str">
        <f>IMPRODUCT(42*10^-6,IMDIV((COMPLEX(1,I249*(CALCULATIONS!C267*10^3)*(CALCULATIONS!C265*10^-6))),IMPRODUCT((COMPLEX(0,data!I249*((CALCULATIONS!C265*10^-6)+(CALCULATIONS!C271*10^-6)))),(COMPLEX(1,I249*((CALCULATIONS!C267*10^3)*(CALCULATIONS!C265*10^-6)*(CALCULATIONS!C271*10^-6))/((CALCULATIONS!C265*10^-6)+(CALCULATIONS!C271*10^-6)))))))</f>
        <v>0.00831086719201141-0.110218561182763i</v>
      </c>
      <c r="Q249" s="1">
        <f t="shared" si="40"/>
        <v>-19.130282545579142</v>
      </c>
      <c r="R249" s="1" t="str">
        <f t="shared" si="26"/>
        <v>-0.00630288014586887-0.000502016578575841i</v>
      </c>
      <c r="S249" s="1">
        <f t="shared" si="41"/>
        <v>-43.981754733653872</v>
      </c>
      <c r="T249" s="1">
        <f t="shared" si="42"/>
        <v>4.5539240254164213</v>
      </c>
    </row>
    <row r="250" spans="1:20" x14ac:dyDescent="0.25">
      <c r="A250" s="1">
        <v>5.5</v>
      </c>
      <c r="B250" s="1">
        <f t="shared" si="29"/>
        <v>316227.76601683802</v>
      </c>
      <c r="C250" s="1">
        <f t="shared" si="32"/>
        <v>1986917.65315922</v>
      </c>
      <c r="D250" s="1" t="str">
        <f t="shared" si="33"/>
        <v>-0.000359558393730912-9.16665124051552E-06i</v>
      </c>
      <c r="E250" s="1">
        <f t="shared" si="34"/>
        <v>-68.881789570615055</v>
      </c>
      <c r="F250" s="1">
        <f t="shared" si="35"/>
        <v>-178.5396066554508</v>
      </c>
      <c r="G250" s="1">
        <v>2.5</v>
      </c>
      <c r="H250" s="16">
        <f t="shared" si="30"/>
        <v>316.22776601683802</v>
      </c>
      <c r="I250" s="16">
        <f t="shared" si="31"/>
        <v>1986.91765315922</v>
      </c>
      <c r="J250" s="16">
        <f>(CALCULATIONS!$C$127*10^3)/((CALCULATIONS!$C$123*10^6)+(CALCULATIONS!$C$127*10^3))</f>
        <v>6.1032863849765258E-2</v>
      </c>
      <c r="K250" s="16" t="str">
        <f t="shared" si="36"/>
        <v>0.00249553410434752-0.744494731789455i</v>
      </c>
      <c r="L250" s="1">
        <f t="shared" si="37"/>
        <v>-2.5627186251499494</v>
      </c>
      <c r="M250" s="1" t="str">
        <f t="shared" si="22"/>
        <v>0.000152309593223088-0.0454386456021733i</v>
      </c>
      <c r="N250" s="1">
        <f t="shared" si="38"/>
        <v>-26.851443647787971</v>
      </c>
      <c r="O250" s="1">
        <f t="shared" si="39"/>
        <v>-89.807946208083038</v>
      </c>
      <c r="P250" s="1" t="str">
        <f>IMPRODUCT(42*10^-6,IMDIV((COMPLEX(1,I250*(CALCULATIONS!C267*10^3)*(CALCULATIONS!C265*10^-6))),IMPRODUCT((COMPLEX(0,data!I250*((CALCULATIONS!C265*10^-6)+(CALCULATIONS!C271*10^-6)))),(COMPLEX(1,I250*((CALCULATIONS!C267*10^3)*(CALCULATIONS!C265*10^-6)*(CALCULATIONS!C271*10^-6))/((CALCULATIONS!C265*10^-6)+(CALCULATIONS!C271*10^-6)))))))</f>
        <v>0.00525605825219-0.0877432051620188i</v>
      </c>
      <c r="Q250" s="1">
        <f t="shared" si="40"/>
        <v>-21.12017404630301</v>
      </c>
      <c r="R250" s="1" t="str">
        <f t="shared" si="26"/>
        <v>-0.00398613185526141-0.000252192300071957i</v>
      </c>
      <c r="S250" s="1">
        <f t="shared" si="41"/>
        <v>-47.971617694090973</v>
      </c>
      <c r="T250" s="1">
        <f t="shared" si="42"/>
        <v>3.620131424126896</v>
      </c>
    </row>
    <row r="251" spans="1:20" x14ac:dyDescent="0.25">
      <c r="A251" s="1">
        <v>5.6</v>
      </c>
      <c r="B251" s="1">
        <f t="shared" si="29"/>
        <v>398107.17055349698</v>
      </c>
      <c r="C251" s="1">
        <f t="shared" si="32"/>
        <v>2501381.12470457</v>
      </c>
      <c r="D251" s="1" t="str">
        <f t="shared" si="33"/>
        <v>-0.000226920403230136-4.59531009527877E-06i</v>
      </c>
      <c r="E251" s="1">
        <f t="shared" si="34"/>
        <v>-72.880748420604135</v>
      </c>
      <c r="F251" s="1">
        <f t="shared" si="35"/>
        <v>-178.83987562282579</v>
      </c>
      <c r="G251" s="1">
        <v>2.6</v>
      </c>
      <c r="H251" s="16">
        <f t="shared" si="30"/>
        <v>398.10717055349699</v>
      </c>
      <c r="I251" s="16">
        <f t="shared" si="31"/>
        <v>2501.3811247045701</v>
      </c>
      <c r="J251" s="16">
        <f>(CALCULATIONS!$C$127*10^3)/((CALCULATIONS!$C$123*10^6)+(CALCULATIONS!$C$127*10^3))</f>
        <v>6.1032863849765258E-2</v>
      </c>
      <c r="K251" s="16" t="str">
        <f t="shared" si="36"/>
        <v>0.00157458210045001-0.5913756381678i</v>
      </c>
      <c r="L251" s="1">
        <f t="shared" si="37"/>
        <v>-4.562700617349897</v>
      </c>
      <c r="M251" s="1" t="str">
        <f t="shared" si="22"/>
        <v>0.0000961012549570429-0.0360933488083634i</v>
      </c>
      <c r="N251" s="1">
        <f t="shared" si="38"/>
        <v>-28.851425639987912</v>
      </c>
      <c r="O251" s="1">
        <f t="shared" si="39"/>
        <v>-89.847446039641966</v>
      </c>
      <c r="P251" s="1" t="str">
        <f>IMPRODUCT(42*10^-6,IMDIV((COMPLEX(1,I251*(CALCULATIONS!C267*10^3)*(CALCULATIONS!C265*10^-6))),IMPRODUCT((COMPLEX(0,data!I251*((CALCULATIONS!C265*10^-6)+(CALCULATIONS!C271*10^-6)))),(COMPLEX(1,I251*((CALCULATIONS!C267*10^3)*(CALCULATIONS!C265*10^-6)*(CALCULATIONS!C271*10^-6))/((CALCULATIONS!C265*10^-6)+(CALCULATIONS!C271*10^-6)))))))</f>
        <v>0.00332124620821355-0.0697942501887393i</v>
      </c>
      <c r="Q251" s="1">
        <f t="shared" si="40"/>
        <v>-23.113783815623169</v>
      </c>
      <c r="R251" s="1" t="str">
        <f t="shared" si="26"/>
        <v>-0.00251878904095172-0.00012658221290343i</v>
      </c>
      <c r="S251" s="1">
        <f t="shared" si="41"/>
        <v>-51.965209455611081</v>
      </c>
      <c r="T251" s="1">
        <f t="shared" si="42"/>
        <v>2.8769896856378807</v>
      </c>
    </row>
    <row r="252" spans="1:20" x14ac:dyDescent="0.25">
      <c r="A252" s="1">
        <v>5.7</v>
      </c>
      <c r="B252" s="1">
        <f t="shared" si="29"/>
        <v>501187.23362727201</v>
      </c>
      <c r="C252" s="1">
        <f t="shared" si="32"/>
        <v>3149052.26247286</v>
      </c>
      <c r="D252" s="1" t="str">
        <f t="shared" si="33"/>
        <v>-0.000143198758115613-2.30345922125364E-06i</v>
      </c>
      <c r="E252" s="1">
        <f t="shared" si="34"/>
        <v>-76.880091370908318</v>
      </c>
      <c r="F252" s="1">
        <f t="shared" si="35"/>
        <v>-179.07843397554979</v>
      </c>
      <c r="G252" s="1">
        <v>2.7</v>
      </c>
      <c r="H252" s="16">
        <f t="shared" si="30"/>
        <v>501.18723362727201</v>
      </c>
      <c r="I252" s="16">
        <f t="shared" si="31"/>
        <v>3149.0522624728601</v>
      </c>
      <c r="J252" s="16">
        <f>(CALCULATIONS!$C$127*10^3)/((CALCULATIONS!$C$123*10^6)+(CALCULATIONS!$C$127*10^3))</f>
        <v>6.1032863849765258E-2</v>
      </c>
      <c r="K252" s="16" t="str">
        <f t="shared" si="36"/>
        <v>0.000993496739989904-0.469747595696282i</v>
      </c>
      <c r="L252" s="1">
        <f t="shared" si="37"/>
        <v>-6.5626892551577924</v>
      </c>
      <c r="M252" s="1" t="str">
        <f t="shared" si="22"/>
        <v>0.0000606359512669894-0.0286700410518858i</v>
      </c>
      <c r="N252" s="1">
        <f t="shared" si="38"/>
        <v>-30.851414277795797</v>
      </c>
      <c r="O252" s="1">
        <f t="shared" si="39"/>
        <v>-89.878821976291576</v>
      </c>
      <c r="P252" s="1" t="str">
        <f>IMPRODUCT(42*10^-6,IMDIV((COMPLEX(1,I252*(CALCULATIONS!C267*10^3)*(CALCULATIONS!C265*10^-6))),IMPRODUCT((COMPLEX(0,data!I252*((CALCULATIONS!C265*10^-6)+(CALCULATIONS!C271*10^-6)))),(COMPLEX(1,I252*((CALCULATIONS!C267*10^3)*(CALCULATIONS!C265*10^-6)*(CALCULATIONS!C271*10^-6))/((CALCULATIONS!C265*10^-6)+(CALCULATIONS!C271*10^-6)))))))</f>
        <v>0.00209751917857744-0.0554884492011318i</v>
      </c>
      <c r="Q252" s="1">
        <f t="shared" si="40"/>
        <v>-25.109746980824838</v>
      </c>
      <c r="R252" s="1" t="str">
        <f t="shared" si="26"/>
        <v>-0.00159072893143123-0.0000635005558585736i</v>
      </c>
      <c r="S252" s="1">
        <f t="shared" si="41"/>
        <v>-55.961161258620663</v>
      </c>
      <c r="T252" s="1">
        <f t="shared" si="42"/>
        <v>2.28598538880928</v>
      </c>
    </row>
    <row r="253" spans="1:20" x14ac:dyDescent="0.25">
      <c r="A253" s="1">
        <v>5.8</v>
      </c>
      <c r="B253" s="1">
        <f t="shared" si="29"/>
        <v>630957.34448019299</v>
      </c>
      <c r="C253" s="1">
        <f t="shared" si="32"/>
        <v>3964421.9162949999</v>
      </c>
      <c r="D253" s="1" t="str">
        <f t="shared" si="33"/>
        <v>-0.000090360934511414-1.15457457699097E-06i</v>
      </c>
      <c r="E253" s="1">
        <f t="shared" si="34"/>
        <v>-80.879676749423638</v>
      </c>
      <c r="F253" s="1">
        <f t="shared" si="35"/>
        <v>-179.26795079005541</v>
      </c>
      <c r="G253" s="1">
        <v>2.8</v>
      </c>
      <c r="H253" s="16">
        <f t="shared" si="30"/>
        <v>630.957344480193</v>
      </c>
      <c r="I253" s="16">
        <f t="shared" si="31"/>
        <v>3964.4219162949998</v>
      </c>
      <c r="J253" s="16">
        <f>(CALCULATIONS!$C$127*10^3)/((CALCULATIONS!$C$123*10^6)+(CALCULATIONS!$C$127*10^3))</f>
        <v>6.1032863849765258E-2</v>
      </c>
      <c r="K253" s="16" t="str">
        <f t="shared" si="36"/>
        <v>0.000626855099587854-0.373134394402862i</v>
      </c>
      <c r="L253" s="1">
        <f t="shared" si="37"/>
        <v>-8.5626820860839317</v>
      </c>
      <c r="M253" s="1" t="str">
        <f t="shared" si="22"/>
        <v>0.0000382587619466765-0.0227734606912545i</v>
      </c>
      <c r="N253" s="1">
        <f t="shared" si="38"/>
        <v>-32.851407108721943</v>
      </c>
      <c r="O253" s="1">
        <f t="shared" si="39"/>
        <v>-89.903744821376193</v>
      </c>
      <c r="P253" s="1" t="str">
        <f>IMPRODUCT(42*10^-6,IMDIV((COMPLEX(1,I253*(CALCULATIONS!C267*10^3)*(CALCULATIONS!C265*10^-6))),IMPRODUCT((COMPLEX(0,data!I253*((CALCULATIONS!C265*10^-6)+(CALCULATIONS!C271*10^-6)))),(COMPLEX(1,I253*((CALCULATIONS!C267*10^3)*(CALCULATIONS!C265*10^-6)*(CALCULATIONS!C271*10^-6))/((CALCULATIONS!C265*10^-6)+(CALCULATIONS!C271*10^-6)))))))</f>
        <v>0.00132422441197248-0.0441005900983238i</v>
      </c>
      <c r="Q253" s="1">
        <f t="shared" si="40"/>
        <v>-27.107197966875859</v>
      </c>
      <c r="R253" s="1" t="str">
        <f t="shared" si="26"/>
        <v>-0.00100427239187876-0.0000318444065707346i</v>
      </c>
      <c r="S253" s="1">
        <f t="shared" si="41"/>
        <v>-59.958605075597831</v>
      </c>
      <c r="T253" s="1">
        <f t="shared" si="42"/>
        <v>1.8161795336507964</v>
      </c>
    </row>
    <row r="254" spans="1:20" x14ac:dyDescent="0.25">
      <c r="A254" s="1">
        <v>5.9</v>
      </c>
      <c r="B254" s="1">
        <f t="shared" si="29"/>
        <v>794328.23472428205</v>
      </c>
      <c r="C254" s="1">
        <f t="shared" si="32"/>
        <v>4990911.4934975104</v>
      </c>
      <c r="D254" s="1" t="str">
        <f t="shared" si="33"/>
        <v>-0.0000570173300338074-5.78692898980325E-07i</v>
      </c>
      <c r="E254" s="1">
        <f t="shared" si="34"/>
        <v>-84.879415120584056</v>
      </c>
      <c r="F254" s="1">
        <f t="shared" si="35"/>
        <v>-179.41850096630344</v>
      </c>
      <c r="G254" s="1">
        <v>2.9</v>
      </c>
      <c r="H254" s="16">
        <f t="shared" si="30"/>
        <v>794.32823472428095</v>
      </c>
      <c r="I254" s="16">
        <f t="shared" si="31"/>
        <v>4990.9114934974996</v>
      </c>
      <c r="J254" s="16">
        <f>(CALCULATIONS!$C$127*10^3)/((CALCULATIONS!$C$123*10^6)+(CALCULATIONS!$C$127*10^3))</f>
        <v>6.1032863849765258E-2</v>
      </c>
      <c r="K254" s="16" t="str">
        <f t="shared" si="36"/>
        <v>0.000395519240961918-0.296391493526774i</v>
      </c>
      <c r="L254" s="1">
        <f t="shared" si="37"/>
        <v>-10.562677562698015</v>
      </c>
      <c r="M254" s="1" t="str">
        <f t="shared" ref="M254:M265" si="43">IMPRODUCT(J254,K254)</f>
        <v>0.0000241396719835912-0.0180896216706482i</v>
      </c>
      <c r="N254" s="1">
        <f t="shared" si="38"/>
        <v>-34.851402585336025</v>
      </c>
      <c r="O254" s="1">
        <f t="shared" si="39"/>
        <v>-89.923541767335706</v>
      </c>
      <c r="P254" s="1" t="str">
        <f>IMPRODUCT(42*10^-6,IMDIV((COMPLEX(1,I254*(CALCULATIONS!C267*10^3)*(CALCULATIONS!C265*10^-6))),IMPRODUCT((COMPLEX(0,data!I254*((CALCULATIONS!C265*10^-6)+(CALCULATIONS!C271*10^-6)))),(COMPLEX(1,I254*((CALCULATIONS!C267*10^3)*(CALCULATIONS!C265*10^-6)*(CALCULATIONS!C271*10^-6))/((CALCULATIONS!C265*10^-6)+(CALCULATIONS!C271*10^-6)))))))</f>
        <v>0.000835839653900307-0.0350426589457902i</v>
      </c>
      <c r="Q254" s="1">
        <f t="shared" si="40"/>
        <v>-29.105588873151483</v>
      </c>
      <c r="R254" s="1" t="str">
        <f t="shared" si="26"/>
        <v>-0.000633888265767824-0.0000159659414087663i</v>
      </c>
      <c r="S254" s="1">
        <f t="shared" si="41"/>
        <v>-63.956991458487515</v>
      </c>
      <c r="T254" s="1">
        <f t="shared" si="42"/>
        <v>1.4428216071487725</v>
      </c>
    </row>
    <row r="255" spans="1:20" x14ac:dyDescent="0.25">
      <c r="A255" s="1">
        <v>6</v>
      </c>
      <c r="B255" s="1">
        <f t="shared" si="29"/>
        <v>1000000</v>
      </c>
      <c r="C255" s="1">
        <f t="shared" si="32"/>
        <v>6283185.3071795898</v>
      </c>
      <c r="D255" s="1" t="str">
        <f t="shared" si="33"/>
        <v>-0.0000359768706803409-2.90044518171089E-07i</v>
      </c>
      <c r="E255" s="1">
        <f t="shared" si="34"/>
        <v>-88.879250035836193</v>
      </c>
      <c r="F255" s="1">
        <f t="shared" si="35"/>
        <v>-179.53809304634657</v>
      </c>
      <c r="G255" s="1">
        <v>3</v>
      </c>
      <c r="H255" s="16">
        <f t="shared" si="30"/>
        <v>1000</v>
      </c>
      <c r="I255" s="16">
        <f t="shared" si="31"/>
        <v>6283.1853071795904</v>
      </c>
      <c r="J255" s="16">
        <f>(CALCULATIONS!$C$127*10^3)/((CALCULATIONS!$C$123*10^6)+(CALCULATIONS!$C$127*10^3))</f>
        <v>6.1032863849765258E-2</v>
      </c>
      <c r="K255" s="16" t="str">
        <f t="shared" si="36"/>
        <v>0.000249555933969514-0.235432286560101i</v>
      </c>
      <c r="L255" s="1">
        <f t="shared" si="37"/>
        <v>-12.562674708632057</v>
      </c>
      <c r="M255" s="1" t="str">
        <f t="shared" si="43"/>
        <v>0.0000152311133408624-0.0143691066914616i</v>
      </c>
      <c r="N255" s="1">
        <f t="shared" si="38"/>
        <v>-36.851399731270057</v>
      </c>
      <c r="O255" s="1">
        <f t="shared" si="39"/>
        <v>-89.939267053713621</v>
      </c>
      <c r="P255" s="1" t="str">
        <f>IMPRODUCT(42*10^-6,IMDIV((COMPLEX(1,I255*(CALCULATIONS!C267*10^3)*(CALCULATIONS!C265*10^-6))),IMPRODUCT((COMPLEX(0,data!I255*((CALCULATIONS!C265*10^-6)+(CALCULATIONS!C271*10^-6)))),(COMPLEX(1,I255*((CALCULATIONS!C267*10^3)*(CALCULATIONS!C265*10^-6)*(CALCULATIONS!C271*10^-6))/((CALCULATIONS!C265*10^-6)+(CALCULATIONS!C271*10^-6)))))))</f>
        <v>0.000527502869771892-0.0278415493148874i</v>
      </c>
      <c r="Q255" s="1">
        <f t="shared" si="40"/>
        <v>-31.104573295007818</v>
      </c>
      <c r="R255" s="1" t="str">
        <f t="shared" si="26"/>
        <v>-0.00040005015810521-8.00380280900475E-06i</v>
      </c>
      <c r="S255" s="1">
        <f t="shared" si="41"/>
        <v>-67.95597302627786</v>
      </c>
      <c r="T255" s="1">
        <f t="shared" si="42"/>
        <v>1.1461636473944452</v>
      </c>
    </row>
    <row r="256" spans="1:20" x14ac:dyDescent="0.25">
      <c r="A256" s="1">
        <v>6.1000000000000103</v>
      </c>
      <c r="B256" s="1">
        <f t="shared" si="29"/>
        <v>1258925.4117942001</v>
      </c>
      <c r="C256" s="1">
        <f t="shared" si="32"/>
        <v>7910061.6502203103</v>
      </c>
      <c r="D256" s="1" t="str">
        <f t="shared" si="33"/>
        <v>-0.000022700415245565-1.4537009632179E-07i</v>
      </c>
      <c r="E256" s="1">
        <f t="shared" si="34"/>
        <v>-92.879145871173577</v>
      </c>
      <c r="F256" s="1">
        <f t="shared" si="35"/>
        <v>-179.63309133147825</v>
      </c>
      <c r="G256" s="1">
        <v>3.1</v>
      </c>
      <c r="H256" s="16">
        <f t="shared" si="30"/>
        <v>1258.92541179417</v>
      </c>
      <c r="I256" s="16">
        <f t="shared" si="31"/>
        <v>7910.0616502201201</v>
      </c>
      <c r="J256" s="16">
        <f>(CALCULATIONS!$C$127*10^3)/((CALCULATIONS!$C$123*10^6)+(CALCULATIONS!$C$127*10^3))</f>
        <v>6.1032863849765258E-2</v>
      </c>
      <c r="K256" s="16" t="str">
        <f t="shared" si="36"/>
        <v>0.000157459214686869-0.187010590124001i</v>
      </c>
      <c r="L256" s="1">
        <f t="shared" si="37"/>
        <v>-14.562672907837186</v>
      </c>
      <c r="M256" s="1" t="str">
        <f t="shared" si="43"/>
        <v>9.61018681187463E-06-0.0114137918855024i</v>
      </c>
      <c r="N256" s="1">
        <f t="shared" si="38"/>
        <v>-38.851397930475216</v>
      </c>
      <c r="O256" s="1">
        <f t="shared" si="39"/>
        <v>-89.951758099318923</v>
      </c>
      <c r="P256" s="1" t="str">
        <f>IMPRODUCT(42*10^-6,IMDIV((COMPLEX(1,I256*(CALCULATIONS!C267*10^3)*(CALCULATIONS!C265*10^-6))),IMPRODUCT((COMPLEX(0,data!I256*((CALCULATIONS!C265*10^-6)+(CALCULATIONS!C271*10^-6)))),(COMPLEX(1,I256*((CALCULATIONS!C267*10^3)*(CALCULATIONS!C265*10^-6)*(CALCULATIONS!C271*10^-6))/((CALCULATIONS!C265*10^-6)+(CALCULATIONS!C271*10^-6)))))))</f>
        <v>0.000332881075147954-0.0221184251830198i</v>
      </c>
      <c r="Q256" s="1">
        <f t="shared" si="40"/>
        <v>-33.103932385585459</v>
      </c>
      <c r="R256" s="1" t="str">
        <f t="shared" si="26"/>
        <v>-0.000252451902824725-4.01199751235432E-06i</v>
      </c>
      <c r="S256" s="1">
        <f t="shared" si="41"/>
        <v>-71.955330316060667</v>
      </c>
      <c r="T256" s="1">
        <f t="shared" si="42"/>
        <v>0.91047511714725715</v>
      </c>
    </row>
    <row r="257" spans="1:20" x14ac:dyDescent="0.25">
      <c r="A257" s="1">
        <v>6.2000000000000099</v>
      </c>
      <c r="B257" s="1">
        <f t="shared" si="29"/>
        <v>1584893.19246115</v>
      </c>
      <c r="C257" s="1">
        <f t="shared" si="32"/>
        <v>9958177.6203208398</v>
      </c>
      <c r="D257" s="1" t="str">
        <f t="shared" si="33"/>
        <v>-0.0000143232104832081-7.28587390402737E-08i</v>
      </c>
      <c r="E257" s="1">
        <f t="shared" si="34"/>
        <v>-96.879080146428876</v>
      </c>
      <c r="F257" s="1">
        <f t="shared" si="35"/>
        <v>-179.70855261480125</v>
      </c>
      <c r="G257" s="1">
        <v>3.2</v>
      </c>
      <c r="H257" s="16">
        <f t="shared" si="30"/>
        <v>1584.8931924611099</v>
      </c>
      <c r="I257" s="16">
        <f t="shared" si="31"/>
        <v>9958.1776203206191</v>
      </c>
      <c r="J257" s="16">
        <f>(CALCULATIONS!$C$127*10^3)/((CALCULATIONS!$C$123*10^6)+(CALCULATIONS!$C$127*10^3))</f>
        <v>6.1032863849765258E-2</v>
      </c>
      <c r="K257" s="16" t="str">
        <f t="shared" si="36"/>
        <v>0.0000993500739552719-0.148547830791839i</v>
      </c>
      <c r="L257" s="1">
        <f t="shared" si="37"/>
        <v>-16.562671771612109</v>
      </c>
      <c r="M257" s="1" t="str">
        <f t="shared" si="43"/>
        <v>6.06361953717622E-06-0.00906629953189628i</v>
      </c>
      <c r="N257" s="1">
        <f t="shared" si="38"/>
        <v>-40.851396794250121</v>
      </c>
      <c r="O257" s="1">
        <f t="shared" si="39"/>
        <v>-89.961680092850429</v>
      </c>
      <c r="P257" s="1" t="str">
        <f>IMPRODUCT(42*10^-6,IMDIV((COMPLEX(1,I257*(CALCULATIONS!C267*10^3)*(CALCULATIONS!C265*10^-6))),IMPRODUCT((COMPLEX(0,data!I257*((CALCULATIONS!C265*10^-6)+(CALCULATIONS!C271*10^-6)))),(COMPLEX(1,I257*((CALCULATIONS!C267*10^3)*(CALCULATIONS!C265*10^-6)*(CALCULATIONS!C271*10^-6))/((CALCULATIONS!C265*10^-6)+(CALCULATIONS!C271*10^-6)))))))</f>
        <v>0.000210053376779997-0.0175708419132869i</v>
      </c>
      <c r="Q257" s="1">
        <f t="shared" si="40"/>
        <v>-35.103527950121979</v>
      </c>
      <c r="R257" s="1" t="str">
        <f t="shared" si="26"/>
        <v>-0.000159301242129697-2.01094973188376E-06i</v>
      </c>
      <c r="S257" s="1">
        <f t="shared" si="41"/>
        <v>-75.954924744372121</v>
      </c>
      <c r="T257" s="1">
        <f t="shared" si="42"/>
        <v>0.72323863442289849</v>
      </c>
    </row>
    <row r="258" spans="1:20" x14ac:dyDescent="0.25">
      <c r="A258" s="1">
        <v>6.3000000000000096</v>
      </c>
      <c r="B258" s="1">
        <f t="shared" si="29"/>
        <v>1995262.3149689201</v>
      </c>
      <c r="C258" s="1">
        <f t="shared" si="32"/>
        <v>12536602.8613819</v>
      </c>
      <c r="D258" s="1" t="str">
        <f t="shared" si="33"/>
        <v>-0.0000090374211472612-3.65162185504996E-08i</v>
      </c>
      <c r="E258" s="1">
        <f t="shared" si="34"/>
        <v>-100.87903867640669</v>
      </c>
      <c r="F258" s="1">
        <f t="shared" si="35"/>
        <v>-179.76849437613023</v>
      </c>
      <c r="G258" s="1">
        <v>3.3</v>
      </c>
      <c r="H258" s="16">
        <f t="shared" si="30"/>
        <v>1995.26231496888</v>
      </c>
      <c r="I258" s="16">
        <f t="shared" si="31"/>
        <v>12536.6028613816</v>
      </c>
      <c r="J258" s="16">
        <f>(CALCULATIONS!$C$127*10^3)/((CALCULATIONS!$C$123*10^6)+(CALCULATIONS!$C$127*10^3))</f>
        <v>6.1032863849765258E-2</v>
      </c>
      <c r="K258" s="16" t="str">
        <f t="shared" si="36"/>
        <v>0.000062685669184538-0.117995755683099i</v>
      </c>
      <c r="L258" s="1">
        <f t="shared" si="37"/>
        <v>-18.562671054702406</v>
      </c>
      <c r="M258" s="1" t="str">
        <f t="shared" si="43"/>
        <v>3.82588591267133E-06-0.00720161889145675i</v>
      </c>
      <c r="N258" s="1">
        <f t="shared" si="38"/>
        <v>-42.851396077340418</v>
      </c>
      <c r="O258" s="1">
        <f t="shared" si="39"/>
        <v>-89.9695614141242</v>
      </c>
      <c r="P258" s="1" t="str">
        <f>IMPRODUCT(42*10^-6,IMDIV((COMPLEX(1,I258*(CALCULATIONS!C267*10^3)*(CALCULATIONS!C265*10^-6))),IMPRODUCT((COMPLEX(0,data!I258*((CALCULATIONS!C265*10^-6)+(CALCULATIONS!C271*10^-6)))),(COMPLEX(1,I258*((CALCULATIONS!C267*10^3)*(CALCULATIONS!C265*10^-6)*(CALCULATIONS!C271*10^-6))/((CALCULATIONS!C265*10^-6)+(CALCULATIONS!C271*10^-6)))))))</f>
        <v>0.000132542531900037-0.0139577939424328i</v>
      </c>
      <c r="Q258" s="1">
        <f t="shared" si="40"/>
        <v>-37.103272749102139</v>
      </c>
      <c r="R258" s="1" t="str">
        <f t="shared" si="26"/>
        <v>-0.000100518205446279-1.00792172886914E-06i</v>
      </c>
      <c r="S258" s="1">
        <f t="shared" si="41"/>
        <v>-79.954668826442557</v>
      </c>
      <c r="T258" s="1">
        <f t="shared" si="42"/>
        <v>0.57450016649011104</v>
      </c>
    </row>
    <row r="259" spans="1:20" x14ac:dyDescent="0.25">
      <c r="A259" s="1">
        <v>6.4000000000000101</v>
      </c>
      <c r="B259" s="1">
        <f t="shared" si="29"/>
        <v>2511886.4315096401</v>
      </c>
      <c r="C259" s="1">
        <f t="shared" si="32"/>
        <v>15782647.9197651</v>
      </c>
      <c r="D259" s="1" t="str">
        <f t="shared" si="33"/>
        <v>-5.70226160375402E-06-1.83015728235552E-08i</v>
      </c>
      <c r="E259" s="1">
        <f t="shared" si="34"/>
        <v>-104.87901251038784</v>
      </c>
      <c r="F259" s="1">
        <f t="shared" si="35"/>
        <v>-179.81610817714957</v>
      </c>
      <c r="G259" s="1">
        <v>3.4</v>
      </c>
      <c r="H259" s="16">
        <f t="shared" si="30"/>
        <v>2511.8864315095798</v>
      </c>
      <c r="I259" s="16">
        <f t="shared" si="31"/>
        <v>15782.6479197648</v>
      </c>
      <c r="J259" s="16">
        <f>(CALCULATIONS!$C$127*10^3)/((CALCULATIONS!$C$123*10^6)+(CALCULATIONS!$C$127*10^3))</f>
        <v>6.1032863849765258E-2</v>
      </c>
      <c r="K259" s="16" t="str">
        <f t="shared" si="36"/>
        <v>0.0000395519874851781-0.0937273700788901i</v>
      </c>
      <c r="L259" s="1">
        <f t="shared" si="37"/>
        <v>-20.562670602362843</v>
      </c>
      <c r="M259" s="1" t="str">
        <f t="shared" si="43"/>
        <v>2.41397106717049E-06-0.00572044981702146i</v>
      </c>
      <c r="N259" s="1">
        <f t="shared" si="38"/>
        <v>-44.851395625000869</v>
      </c>
      <c r="O259" s="1">
        <f t="shared" si="39"/>
        <v>-89.975821770974363</v>
      </c>
      <c r="P259" s="1" t="str">
        <f>IMPRODUCT(42*10^-6,IMDIV((COMPLEX(1,I259*(CALCULATIONS!C267*10^3)*(CALCULATIONS!C265*10^-6))),IMPRODUCT((COMPLEX(0,data!I259*((CALCULATIONS!C265*10^-6)+(CALCULATIONS!C271*10^-6)))),(COMPLEX(1,I259*((CALCULATIONS!C267*10^3)*(CALCULATIONS!C265*10^-6)*(CALCULATIONS!C271*10^-6))/((CALCULATIONS!C265*10^-6)+(CALCULATIONS!C271*10^-6)))))))</f>
        <v>0.0000836317939073245-0.0110874598356306i</v>
      </c>
      <c r="Q259" s="1">
        <f t="shared" si="40"/>
        <v>-39.103111720382763</v>
      </c>
      <c r="R259" s="1" t="str">
        <f t="shared" si="26"/>
        <v>-0.0000634250557032351-5.05176287405958E-07i</v>
      </c>
      <c r="S259" s="1">
        <f t="shared" si="41"/>
        <v>-83.954507345383632</v>
      </c>
      <c r="T259" s="1">
        <f t="shared" si="42"/>
        <v>0.45634736620002059</v>
      </c>
    </row>
    <row r="260" spans="1:20" x14ac:dyDescent="0.25">
      <c r="A260" s="1">
        <v>6.5000000000000098</v>
      </c>
      <c r="B260" s="1">
        <f t="shared" si="29"/>
        <v>3162277.6601684499</v>
      </c>
      <c r="C260" s="1">
        <f t="shared" si="32"/>
        <v>19869176.5315926</v>
      </c>
      <c r="D260" s="1" t="str">
        <f t="shared" si="33"/>
        <v>-3.59789751643244E-06-9.17254952388477E-09i</v>
      </c>
      <c r="E260" s="1">
        <f t="shared" si="34"/>
        <v>-108.87899600066497</v>
      </c>
      <c r="F260" s="1">
        <f t="shared" si="35"/>
        <v>-179.85392934787885</v>
      </c>
      <c r="G260" s="1">
        <v>3.5</v>
      </c>
      <c r="H260" s="16">
        <f t="shared" si="30"/>
        <v>3162.27766016838</v>
      </c>
      <c r="I260" s="16">
        <f t="shared" si="31"/>
        <v>19869.176531592198</v>
      </c>
      <c r="J260" s="16">
        <f>(CALCULATIONS!$C$127*10^3)/((CALCULATIONS!$C$123*10^6)+(CALCULATIONS!$C$127*10^3))</f>
        <v>6.1032863849765258E-2</v>
      </c>
      <c r="K260" s="16" t="str">
        <f t="shared" si="36"/>
        <v>0.0000249556186325798-0.0744503013127933i</v>
      </c>
      <c r="L260" s="1">
        <f t="shared" si="37"/>
        <v>-22.562670316955845</v>
      </c>
      <c r="M260" s="1" t="str">
        <f t="shared" si="43"/>
        <v>1.52311287428891E-06-0.00454391510359771i</v>
      </c>
      <c r="N260" s="1">
        <f t="shared" si="38"/>
        <v>-46.851395339593871</v>
      </c>
      <c r="O260" s="1">
        <f t="shared" si="39"/>
        <v>-89.980794549598585</v>
      </c>
      <c r="P260" s="1" t="str">
        <f>IMPRODUCT(42*10^-6,IMDIV((COMPLEX(1,I260*(CALCULATIONS!C267*10^3)*(CALCULATIONS!C265*10^-6))),IMPRODUCT((COMPLEX(0,data!I260*((CALCULATIONS!C265*10^-6)+(CALCULATIONS!C271*10^-6)))),(COMPLEX(1,I260*((CALCULATIONS!C267*10^3)*(CALCULATIONS!C265*10^-6)*(CALCULATIONS!C271*10^-6))/((CALCULATIONS!C265*10^-6)+(CALCULATIONS!C271*10^-6)))))))</f>
        <v>0.0000527693327659684-0.0088072778800511i</v>
      </c>
      <c r="Q260" s="1">
        <f t="shared" si="40"/>
        <v>-41.103010115039424</v>
      </c>
      <c r="R260" s="1" t="str">
        <f t="shared" si="26"/>
        <v>-0.0000400194426070961-2.53193846488603E-07i</v>
      </c>
      <c r="S260" s="1">
        <f t="shared" si="41"/>
        <v>-87.954405454633289</v>
      </c>
      <c r="T260" s="1">
        <f t="shared" si="42"/>
        <v>0.36249243619300842</v>
      </c>
    </row>
    <row r="261" spans="1:20" x14ac:dyDescent="0.25">
      <c r="A261" s="1">
        <v>6.6000000000000103</v>
      </c>
      <c r="B261" s="1">
        <f t="shared" si="29"/>
        <v>3981071.70553507</v>
      </c>
      <c r="C261" s="1">
        <f t="shared" si="32"/>
        <v>25013811.247046299</v>
      </c>
      <c r="D261" s="1" t="str">
        <f t="shared" si="33"/>
        <v>-2.27012530778344E-06-4.59717574793178E-09i</v>
      </c>
      <c r="E261" s="1">
        <f t="shared" si="34"/>
        <v>-112.87898558370182</v>
      </c>
      <c r="F261" s="1">
        <f t="shared" si="35"/>
        <v>-179.8839718639874</v>
      </c>
      <c r="G261" s="1">
        <v>3.6</v>
      </c>
      <c r="H261" s="16">
        <f t="shared" si="30"/>
        <v>3981.0717055349701</v>
      </c>
      <c r="I261" s="16">
        <f t="shared" si="31"/>
        <v>25013.811247045702</v>
      </c>
      <c r="J261" s="16">
        <f>(CALCULATIONS!$C$127*10^3)/((CALCULATIONS!$C$123*10^6)+(CALCULATIONS!$C$127*10^3))</f>
        <v>6.1032863849765258E-2</v>
      </c>
      <c r="K261" s="16" t="str">
        <f t="shared" si="36"/>
        <v>0.000015745931515176-0.0591379788686304i</v>
      </c>
      <c r="L261" s="1">
        <f t="shared" si="37"/>
        <v>-24.562670136876214</v>
      </c>
      <c r="M261" s="1" t="str">
        <f t="shared" si="43"/>
        <v>9.61019294353465E-07-0.00360936021263941i</v>
      </c>
      <c r="N261" s="1">
        <f t="shared" si="38"/>
        <v>-48.85139515951424</v>
      </c>
      <c r="O261" s="1">
        <f t="shared" si="39"/>
        <v>-89.984744568274706</v>
      </c>
      <c r="P261" s="1" t="str">
        <f>IMPRODUCT(42*10^-6,IMDIV((COMPLEX(1,I261*(CALCULATIONS!C267*10^3)*(CALCULATIONS!C265*10^-6))),IMPRODUCT((COMPLEX(0,data!I261*((CALCULATIONS!C265*10^-6)+(CALCULATIONS!C271*10^-6)))),(COMPLEX(1,I261*((CALCULATIONS!C267*10^3)*(CALCULATIONS!C265*10^-6)*(CALCULATIONS!C271*10^-6))/((CALCULATIONS!C265*10^-6)+(CALCULATIONS!C271*10^-6)))))))</f>
        <v>0.0000332956910144657-0.00699596746763767i</v>
      </c>
      <c r="Q261" s="1">
        <f t="shared" si="40"/>
        <v>-43.102946005171475</v>
      </c>
      <c r="R261" s="1" t="str">
        <f t="shared" si="26"/>
        <v>-0.0000252509346288096-1.26899402119017E-07i</v>
      </c>
      <c r="S261" s="1">
        <f t="shared" si="41"/>
        <v>-91.954341164685729</v>
      </c>
      <c r="T261" s="1">
        <f t="shared" si="42"/>
        <v>0.2879393995337125</v>
      </c>
    </row>
    <row r="262" spans="1:20" x14ac:dyDescent="0.25">
      <c r="A262" s="1">
        <v>6.7000000000000099</v>
      </c>
      <c r="B262" s="1">
        <f t="shared" si="29"/>
        <v>5011872.3362728404</v>
      </c>
      <c r="C262" s="1">
        <f t="shared" si="32"/>
        <v>31490522.624729302</v>
      </c>
      <c r="D262" s="1" t="str">
        <f t="shared" si="33"/>
        <v>-1.43235440357949E-06-2.30404928258149E-09i</v>
      </c>
      <c r="E262" s="1">
        <f t="shared" si="34"/>
        <v>-116.87897901102954</v>
      </c>
      <c r="F262" s="1">
        <f t="shared" si="35"/>
        <v>-179.90783552904841</v>
      </c>
      <c r="G262" s="1">
        <v>3.7</v>
      </c>
      <c r="H262" s="16">
        <f t="shared" si="30"/>
        <v>5011.8723362727296</v>
      </c>
      <c r="I262" s="16">
        <f t="shared" si="31"/>
        <v>31490.522624728601</v>
      </c>
      <c r="J262" s="16">
        <f>(CALCULATIONS!$C$127*10^3)/((CALCULATIONS!$C$123*10^6)+(CALCULATIONS!$C$127*10^3))</f>
        <v>6.1032863849765258E-2</v>
      </c>
      <c r="K262" s="16" t="str">
        <f t="shared" si="36"/>
        <v>9.93501139510777E-06-0.0469749675888666i</v>
      </c>
      <c r="L262" s="1">
        <f t="shared" si="37"/>
        <v>-26.562670023253645</v>
      </c>
      <c r="M262" s="1" t="str">
        <f t="shared" si="43"/>
        <v>6.06362197823479E-07-0.00286701680119843i</v>
      </c>
      <c r="N262" s="1">
        <f t="shared" si="38"/>
        <v>-50.851395045891664</v>
      </c>
      <c r="O262" s="1">
        <f t="shared" si="39"/>
        <v>-89.987882179742016</v>
      </c>
      <c r="P262" s="1" t="str">
        <f>IMPRODUCT(42*10^-6,IMDIV((COMPLEX(1,I262*(CALCULATIONS!C267*10^3)*(CALCULATIONS!C265*10^-6))),IMPRODUCT((COMPLEX(0,data!I262*((CALCULATIONS!C265*10^-6)+(CALCULATIONS!C271*10^-6)))),(COMPLEX(1,I262*((CALCULATIONS!C267*10^3)*(CALCULATIONS!C265*10^-6)*(CALCULATIONS!C271*10^-6))/((CALCULATIONS!C265*10^-6)+(CALCULATIONS!C271*10^-6)))))))</f>
        <v>0.0000210083570337865-0.00555714359448902i</v>
      </c>
      <c r="Q262" s="1">
        <f t="shared" si="40"/>
        <v>-45.102905554089652</v>
      </c>
      <c r="R262" s="1" t="str">
        <f t="shared" si="26"/>
        <v>-0.0000159324113133987-6.36009543850161E-08i</v>
      </c>
      <c r="S262" s="1">
        <f t="shared" si="41"/>
        <v>-95.954300599981337</v>
      </c>
      <c r="T262" s="1">
        <f t="shared" si="42"/>
        <v>0.22871910793426764</v>
      </c>
    </row>
    <row r="263" spans="1:20" x14ac:dyDescent="0.25">
      <c r="A263" s="1">
        <v>6.8000000000000096</v>
      </c>
      <c r="B263" s="1">
        <f t="shared" si="29"/>
        <v>6309573.44480207</v>
      </c>
      <c r="C263" s="1">
        <f t="shared" si="32"/>
        <v>39644219.162950903</v>
      </c>
      <c r="D263" s="1" t="str">
        <f t="shared" si="33"/>
        <v>-9.03755393833253E-07-1.15476118875963E-09i</v>
      </c>
      <c r="E263" s="1">
        <f t="shared" si="34"/>
        <v>-120.87897486394859</v>
      </c>
      <c r="F263" s="1">
        <f t="shared" si="35"/>
        <v>-179.92679113518233</v>
      </c>
      <c r="G263" s="1">
        <v>3.8</v>
      </c>
      <c r="H263" s="16">
        <f t="shared" si="30"/>
        <v>6309.5734448019302</v>
      </c>
      <c r="I263" s="16">
        <f t="shared" si="31"/>
        <v>39644.219162950001</v>
      </c>
      <c r="J263" s="16">
        <f>(CALCULATIONS!$C$127*10^3)/((CALCULATIONS!$C$123*10^6)+(CALCULATIONS!$C$127*10^3))</f>
        <v>6.1032863849765258E-2</v>
      </c>
      <c r="K263" s="16" t="str">
        <f t="shared" si="36"/>
        <v>6.26856851071581E-06-0.0373135436970466i</v>
      </c>
      <c r="L263" s="1">
        <f t="shared" si="37"/>
        <v>-28.562669951562654</v>
      </c>
      <c r="M263" s="1" t="str">
        <f t="shared" si="43"/>
        <v>3.82588688447444E-07-0.00227735243221411i</v>
      </c>
      <c r="N263" s="1">
        <f t="shared" si="38"/>
        <v>-52.851394974200687</v>
      </c>
      <c r="O263" s="1">
        <f t="shared" si="39"/>
        <v>-89.990374473172807</v>
      </c>
      <c r="P263" s="1" t="str">
        <f>IMPRODUCT(42*10^-6,IMDIV((COMPLEX(1,I263*(CALCULATIONS!C267*10^3)*(CALCULATIONS!C265*10^-6))),IMPRODUCT((COMPLEX(0,data!I263*((CALCULATIONS!C265*10^-6)+(CALCULATIONS!C271*10^-6)))),(COMPLEX(1,I263*((CALCULATIONS!C267*10^3)*(CALCULATIONS!C265*10^-6)*(CALCULATIONS!C271*10^-6))/((CALCULATIONS!C265*10^-6)+(CALCULATIONS!C271*10^-6)))))))</f>
        <v>0.0000132554552951212-0.0044142206730607i</v>
      </c>
      <c r="Q263" s="1">
        <f t="shared" si="40"/>
        <v>-47.102880030987492</v>
      </c>
      <c r="R263" s="1" t="str">
        <f t="shared" si="26"/>
        <v>-0.0000100527311147373-3.18761742542736E-08i</v>
      </c>
      <c r="S263" s="1">
        <f t="shared" si="41"/>
        <v>-99.954275005188208</v>
      </c>
      <c r="T263" s="1">
        <f t="shared" si="42"/>
        <v>0.18167840260045409</v>
      </c>
    </row>
    <row r="264" spans="1:20" x14ac:dyDescent="0.25">
      <c r="A264" s="1">
        <v>6.9000000000000101</v>
      </c>
      <c r="B264" s="1">
        <f t="shared" si="29"/>
        <v>7943282.3472429998</v>
      </c>
      <c r="C264" s="1">
        <f t="shared" si="32"/>
        <v>49909114.934976198</v>
      </c>
      <c r="D264" s="1" t="str">
        <f t="shared" si="33"/>
        <v>-5.70231446918204E-07-5.78751914393699E-10i</v>
      </c>
      <c r="E264" s="1">
        <f t="shared" si="34"/>
        <v>-124.87897224731533</v>
      </c>
      <c r="F264" s="1">
        <f t="shared" si="35"/>
        <v>-179.94184811996433</v>
      </c>
      <c r="G264" s="1">
        <v>3.9</v>
      </c>
      <c r="H264" s="16">
        <f t="shared" si="30"/>
        <v>7943.2823472428099</v>
      </c>
      <c r="I264" s="16">
        <f t="shared" si="31"/>
        <v>49909.114934974998</v>
      </c>
      <c r="J264" s="16">
        <f>(CALCULATIONS!$C$127*10^3)/((CALCULATIONS!$C$123*10^6)+(CALCULATIONS!$C$127*10^3))</f>
        <v>6.1032863849765258E-2</v>
      </c>
      <c r="K264" s="16" t="str">
        <f t="shared" si="36"/>
        <v>3.95519938240882E-06-0.0296392016048897i</v>
      </c>
      <c r="L264" s="1">
        <f t="shared" si="37"/>
        <v>-30.562669906328669</v>
      </c>
      <c r="M264" s="1" t="str">
        <f t="shared" si="43"/>
        <v>2.41397145405233E-07-0.00180896535616698i</v>
      </c>
      <c r="N264" s="1">
        <f t="shared" si="38"/>
        <v>-54.851394928966677</v>
      </c>
      <c r="O264" s="1">
        <f t="shared" si="39"/>
        <v>-89.99235417224051</v>
      </c>
      <c r="P264" s="1" t="str">
        <f>IMPRODUCT(42*10^-6,IMDIV((COMPLEX(1,I264*(CALCULATIONS!C267*10^3)*(CALCULATIONS!C265*10^-6))),IMPRODUCT((COMPLEX(0,data!I264*((CALCULATIONS!C265*10^-6)+(CALCULATIONS!C271*10^-6)))),(COMPLEX(1,I264*((CALCULATIONS!C267*10^3)*(CALCULATIONS!C265*10^-6)*(CALCULATIONS!C271*10^-6))/((CALCULATIONS!C265*10^-6)+(CALCULATIONS!C271*10^-6)))))))</f>
        <v>8.36365797697597E-06-0.00350635245002439i</v>
      </c>
      <c r="Q264" s="1">
        <f t="shared" si="40"/>
        <v>-49.102863926921138</v>
      </c>
      <c r="R264" s="1" t="str">
        <f t="shared" si="26"/>
        <v>-6.34286808964217E-06-1.59759910033997E-08i</v>
      </c>
      <c r="S264" s="1">
        <f t="shared" si="41"/>
        <v>-103.95425885588782</v>
      </c>
      <c r="T264" s="1">
        <f t="shared" si="42"/>
        <v>0.1443124639240807</v>
      </c>
    </row>
    <row r="265" spans="1:20" x14ac:dyDescent="0.25">
      <c r="A265" s="1">
        <v>7.0000000000000098</v>
      </c>
      <c r="B265" s="1">
        <f t="shared" si="29"/>
        <v>10000000.000000199</v>
      </c>
      <c r="C265" s="1">
        <f t="shared" si="32"/>
        <v>62831853.071797296</v>
      </c>
      <c r="D265" s="1" t="str">
        <f t="shared" si="33"/>
        <v>-3.59791856262642E-07-2.90063181199919E-10i</v>
      </c>
      <c r="E265" s="1">
        <f t="shared" si="34"/>
        <v>-128.87897059633053</v>
      </c>
      <c r="F265" s="1">
        <f t="shared" si="35"/>
        <v>-179.95380831393206</v>
      </c>
      <c r="G265" s="1">
        <v>4</v>
      </c>
      <c r="H265" s="16">
        <f t="shared" si="30"/>
        <v>10000</v>
      </c>
      <c r="I265" s="16">
        <f t="shared" si="31"/>
        <v>62831.8530717959</v>
      </c>
      <c r="J265" s="16">
        <f>(CALCULATIONS!$C$127*10^3)/((CALCULATIONS!$C$123*10^6)+(CALCULATIONS!$C$127*10^3))</f>
        <v>6.1032863849765258E-2</v>
      </c>
      <c r="K265" s="16" t="str">
        <f t="shared" si="36"/>
        <v>2.49556211561454E-06-0.0235432548441692i</v>
      </c>
      <c r="L265" s="1">
        <f t="shared" si="37"/>
        <v>-32.562669877787997</v>
      </c>
      <c r="M265" s="1" t="str">
        <f t="shared" si="43"/>
        <v>1.52311302830934E-07-0.00143691226748451i</v>
      </c>
      <c r="N265" s="1">
        <f t="shared" si="38"/>
        <v>-56.85139490042598</v>
      </c>
      <c r="O265" s="1">
        <f t="shared" si="39"/>
        <v>-89.993926703119499</v>
      </c>
      <c r="P265" s="1" t="str">
        <f>IMPRODUCT(42*10^-6,IMDIV((COMPLEX(1,I265*(CALCULATIONS!C267*10^3)*(CALCULATIONS!C265*10^-6))),IMPRODUCT((COMPLEX(0,data!I265*((CALCULATIONS!C265*10^-6)+(CALCULATIONS!C271*10^-6)))),(COMPLEX(1,I265*((CALCULATIONS!C267*10^3)*(CALCULATIONS!C265*10^-6)*(CALCULATIONS!C271*10^-6))/((CALCULATIONS!C265*10^-6)+(CALCULATIONS!C271*10^-6)))))))</f>
        <v>5.27712381012986E-06-0.00278520093418553i</v>
      </c>
      <c r="Q265" s="1">
        <f t="shared" si="40"/>
        <v>-51.102853765911235</v>
      </c>
      <c r="R265" s="1" t="str">
        <f t="shared" si="26"/>
        <v>-0.0000040020885859749-8.00698152274193E-09i</v>
      </c>
      <c r="S265" s="1">
        <f t="shared" si="41"/>
        <v>-107.95424866633724</v>
      </c>
      <c r="T265" s="1">
        <f t="shared" si="42"/>
        <v>0.11463155447995632</v>
      </c>
    </row>
    <row r="271" spans="1:20" x14ac:dyDescent="0.25">
      <c r="A271" s="196" t="s">
        <v>489</v>
      </c>
      <c r="B271" s="196"/>
      <c r="C271" s="196"/>
      <c r="D271" s="196"/>
    </row>
    <row r="272" spans="1:20" x14ac:dyDescent="0.25">
      <c r="A272" s="7" t="s">
        <v>490</v>
      </c>
      <c r="B272" s="7" t="s">
        <v>491</v>
      </c>
      <c r="C272" s="7" t="s">
        <v>492</v>
      </c>
      <c r="D272" s="7" t="s">
        <v>493</v>
      </c>
    </row>
    <row r="273" spans="1:4" x14ac:dyDescent="0.25">
      <c r="A273" s="7">
        <v>0</v>
      </c>
      <c r="B273" s="7">
        <f t="shared" ref="B273:B283" si="44">SIN(4*PI()*A273/100)</f>
        <v>0</v>
      </c>
      <c r="C273" s="7">
        <f>ABS(CALCULATIONS!C24*B273)</f>
        <v>0</v>
      </c>
      <c r="D273" s="7">
        <f>((1/(fsw/kHz)*kHz)*M1M2_calc*data!C273)/(7*Rsense*Vout_nom)</f>
        <v>0</v>
      </c>
    </row>
    <row r="274" spans="1:4" x14ac:dyDescent="0.25">
      <c r="A274" s="7">
        <v>0.1</v>
      </c>
      <c r="B274" s="7">
        <f t="shared" si="44"/>
        <v>1.25660398833526E-2</v>
      </c>
      <c r="C274" s="7">
        <f>ABS(CALCULATIONS!C24*B274)</f>
        <v>0.45237743580069362</v>
      </c>
      <c r="D274" s="7">
        <f>((1/(fsw/kHz)*kHz)*M1M2_calc*data!C274)/(7*Rsense*Vout_nom)</f>
        <v>3.4325183970901424E-2</v>
      </c>
    </row>
    <row r="275" spans="1:4" x14ac:dyDescent="0.25">
      <c r="A275" s="7">
        <v>0.2</v>
      </c>
      <c r="B275" s="7">
        <f t="shared" si="44"/>
        <v>2.51300954433375E-2</v>
      </c>
      <c r="C275" s="7">
        <f>ABS(CALCULATIONS!C24*B275)</f>
        <v>0.90468343596015</v>
      </c>
      <c r="D275" s="7">
        <f>((1/(fsw/kHz)*kHz)*M1M2_calc*data!C275)/(7*Rsense*Vout_nom)</f>
        <v>6.8644947597343783E-2</v>
      </c>
    </row>
    <row r="276" spans="1:4" x14ac:dyDescent="0.25">
      <c r="A276" s="7">
        <v>0.3</v>
      </c>
      <c r="B276" s="7">
        <f t="shared" si="44"/>
        <v>3.7690182669934499E-2</v>
      </c>
      <c r="C276" s="7">
        <f>ABS(CALCULATIONS!C24*B276)</f>
        <v>1.356846576117642</v>
      </c>
      <c r="D276" s="7">
        <f>((1/(fsw/kHz)*kHz)*M1M2_calc*data!C276)/(7*Rsense*Vout_nom)</f>
        <v>0.10295387139080281</v>
      </c>
    </row>
    <row r="277" spans="1:4" x14ac:dyDescent="0.25">
      <c r="A277" s="7">
        <v>0.4</v>
      </c>
      <c r="B277" s="7">
        <f t="shared" si="44"/>
        <v>5.0244318179769598E-2</v>
      </c>
      <c r="C277" s="7">
        <f>ABS(CALCULATIONS!C24*B277)</f>
        <v>1.8087954544717055</v>
      </c>
      <c r="D277" s="7">
        <f>((1/(fsw/kHz)*kHz)*M1M2_calc*data!C277)/(7*Rsense*Vout_nom)</f>
        <v>0.13724653757449046</v>
      </c>
    </row>
    <row r="278" spans="1:4" x14ac:dyDescent="0.25">
      <c r="A278" s="7">
        <v>0.5</v>
      </c>
      <c r="B278" s="7">
        <f t="shared" si="44"/>
        <v>6.2790519529313402E-2</v>
      </c>
      <c r="C278" s="7">
        <f>ABS(CALCULATIONS!C24*B278)</f>
        <v>2.2604587030552823</v>
      </c>
      <c r="D278" s="7">
        <f>((1/(fsw/kHz)*kHz)*M1M2_calc*data!C278)/(7*Rsense*Vout_nom)</f>
        <v>0.1715175309388825</v>
      </c>
    </row>
    <row r="279" spans="1:4" x14ac:dyDescent="0.25">
      <c r="A279" s="7">
        <v>0.6</v>
      </c>
      <c r="B279" s="7">
        <f t="shared" si="44"/>
        <v>7.5326805527932694E-2</v>
      </c>
      <c r="C279" s="7">
        <f>ABS(CALCULATIONS!C24*B279)</f>
        <v>2.711764999005577</v>
      </c>
      <c r="D279" s="7">
        <f>((1/(fsw/kHz)*kHz)*M1M2_calc*data!C279)/(7*Rsense*Vout_nom)</f>
        <v>0.20576143969684491</v>
      </c>
    </row>
    <row r="280" spans="1:4" x14ac:dyDescent="0.25">
      <c r="A280" s="7">
        <v>0.7</v>
      </c>
      <c r="B280" s="7">
        <f t="shared" si="44"/>
        <v>8.7851196550743194E-2</v>
      </c>
      <c r="C280" s="7">
        <f>ABS(CALCULATIONS!C24*B280)</f>
        <v>3.1626430758267547</v>
      </c>
      <c r="D280" s="7">
        <f>((1/(fsw/kHz)*kHz)*M1M2_calc*data!C280)/(7*Rsense*Vout_nom)</f>
        <v>0.23997285633821713</v>
      </c>
    </row>
    <row r="281" spans="1:4" x14ac:dyDescent="0.25">
      <c r="A281" s="7">
        <v>0.8</v>
      </c>
      <c r="B281" s="7">
        <f t="shared" si="44"/>
        <v>0.10036171485121501</v>
      </c>
      <c r="C281" s="7">
        <f>ABS(CALCULATIONS!C24*B281)</f>
        <v>3.6130217346437403</v>
      </c>
      <c r="D281" s="7">
        <f>((1/(fsw/kHz)*kHz)*M1M2_calc*data!C281)/(7*Rsense*Vout_nom)</f>
        <v>0.27414637848372014</v>
      </c>
    </row>
    <row r="282" spans="1:4" x14ac:dyDescent="0.25">
      <c r="A282" s="7">
        <v>0.9</v>
      </c>
      <c r="B282" s="7">
        <f t="shared" si="44"/>
        <v>0.112856384873482</v>
      </c>
      <c r="C282" s="7">
        <f>ABS(CALCULATIONS!C24*B282)</f>
        <v>4.0628298554453517</v>
      </c>
      <c r="D282" s="7">
        <f>((1/(fsw/kHz)*kHz)*M1M2_calc*data!C282)/(7*Rsense*Vout_nom)</f>
        <v>0.30827660973805515</v>
      </c>
    </row>
    <row r="283" spans="1:4" x14ac:dyDescent="0.25">
      <c r="A283" s="7">
        <v>1</v>
      </c>
      <c r="B283" s="7">
        <f t="shared" si="44"/>
        <v>0.12533323356430401</v>
      </c>
      <c r="C283" s="7">
        <f>ABS(CALCULATIONS!C24*B283)</f>
        <v>4.5119964083149444</v>
      </c>
      <c r="D283" s="7">
        <f>((1/(fsw/kHz)*kHz)*M1M2_calc*data!C283)/(7*Rsense*Vout_nom)</f>
        <v>0.34235816054205476</v>
      </c>
    </row>
    <row r="284" spans="1:4" x14ac:dyDescent="0.25">
      <c r="A284" s="7">
        <v>2</v>
      </c>
      <c r="B284" s="7">
        <f t="shared" ref="B284:B347" si="45">SIN(4*PI()*A284/100)</f>
        <v>0.24868988716485499</v>
      </c>
      <c r="C284" s="7">
        <f>ABS(CALCULATIONS!C24*B284)</f>
        <v>8.9528359379347791</v>
      </c>
      <c r="D284" s="7">
        <f>((1/(fsw/kHz)*kHz)*M1M2_calc*data!C284)/(7*Rsense*Vout_nom)</f>
        <v>0.67931712837751113</v>
      </c>
    </row>
    <row r="285" spans="1:4" x14ac:dyDescent="0.25">
      <c r="A285" s="7">
        <v>3</v>
      </c>
      <c r="B285" s="7">
        <f t="shared" si="45"/>
        <v>0.36812455268467797</v>
      </c>
      <c r="C285" s="7">
        <f>ABS(CALCULATIONS!C24*B285)</f>
        <v>13.252483896648407</v>
      </c>
      <c r="D285" s="7">
        <f>((1/(fsw/kHz)*kHz)*M1M2_calc*data!C285)/(7*Rsense*Vout_nom)</f>
        <v>1.0055628592940702</v>
      </c>
    </row>
    <row r="286" spans="1:4" x14ac:dyDescent="0.25">
      <c r="A286" s="7">
        <v>4</v>
      </c>
      <c r="B286" s="7">
        <f t="shared" si="45"/>
        <v>0.48175367410171499</v>
      </c>
      <c r="C286" s="7">
        <f>ABS(CALCULATIONS!C24*B286)</f>
        <v>17.343132267661741</v>
      </c>
      <c r="D286" s="7">
        <f>((1/(fsw/kHz)*kHz)*M1M2_calc*data!C286)/(7*Rsense*Vout_nom)</f>
        <v>1.3159502632254261</v>
      </c>
    </row>
    <row r="287" spans="1:4" x14ac:dyDescent="0.25">
      <c r="A287" s="7">
        <v>5</v>
      </c>
      <c r="B287" s="7">
        <f t="shared" si="45"/>
        <v>0.58778525229247303</v>
      </c>
      <c r="C287" s="7">
        <f>ABS(CALCULATIONS!C24*B287)</f>
        <v>21.16026908252903</v>
      </c>
      <c r="D287" s="7">
        <f>((1/(fsw/kHz)*kHz)*M1M2_calc*data!C287)/(7*Rsense*Vout_nom)</f>
        <v>1.6055843453951353</v>
      </c>
    </row>
    <row r="288" spans="1:4" x14ac:dyDescent="0.25">
      <c r="A288" s="7">
        <v>6</v>
      </c>
      <c r="B288" s="7">
        <f t="shared" si="45"/>
        <v>0.68454710592868895</v>
      </c>
      <c r="C288" s="7">
        <f>ABS(CALCULATIONS!C24*B288)</f>
        <v>24.643695813432803</v>
      </c>
      <c r="D288" s="7">
        <f>((1/(fsw/kHz)*kHz)*M1M2_calc*data!C288)/(7*Rsense*Vout_nom)</f>
        <v>1.8698974033083662</v>
      </c>
    </row>
    <row r="289" spans="1:4" x14ac:dyDescent="0.25">
      <c r="A289" s="7">
        <v>7</v>
      </c>
      <c r="B289" s="7">
        <f t="shared" si="45"/>
        <v>0.77051324277578903</v>
      </c>
      <c r="C289" s="7">
        <f>ABS(CALCULATIONS!C24*B289)</f>
        <v>27.738476739928405</v>
      </c>
      <c r="D289" s="7">
        <f>((1/(fsw/kHz)*kHz)*M1M2_calc*data!C289)/(7*Rsense*Vout_nom)</f>
        <v>2.1047210621488577</v>
      </c>
    </row>
    <row r="290" spans="1:4" x14ac:dyDescent="0.25">
      <c r="A290" s="7">
        <v>8</v>
      </c>
      <c r="B290" s="7">
        <f t="shared" si="45"/>
        <v>0.84432792550201496</v>
      </c>
      <c r="C290" s="7">
        <f>ABS(CALCULATIONS!C24*B290)</f>
        <v>30.39580531807254</v>
      </c>
      <c r="D290" s="7">
        <f>((1/(fsw/kHz)*kHz)*M1M2_calc*data!C290)/(7*Rsense*Vout_nom)</f>
        <v>2.3063520125398442</v>
      </c>
    </row>
    <row r="291" spans="1:4" x14ac:dyDescent="0.25">
      <c r="A291" s="7">
        <v>9</v>
      </c>
      <c r="B291" s="7">
        <f t="shared" si="45"/>
        <v>0.90482705246602002</v>
      </c>
      <c r="C291" s="7">
        <f>ABS(CALCULATIONS!C24*B291)</f>
        <v>32.573773888776721</v>
      </c>
      <c r="D291" s="7">
        <f>((1/(fsw/kHz)*kHz)*M1M2_calc*data!C291)/(7*Rsense*Vout_nom)</f>
        <v>2.471610413945168</v>
      </c>
    </row>
    <row r="292" spans="1:4" x14ac:dyDescent="0.25">
      <c r="A292" s="7">
        <v>10</v>
      </c>
      <c r="B292" s="7">
        <f t="shared" si="45"/>
        <v>0.95105651629515398</v>
      </c>
      <c r="C292" s="7">
        <f>ABS(CALCULATIONS!C24*B292)</f>
        <v>34.238034586625545</v>
      </c>
      <c r="D292" s="7">
        <f>((1/(fsw/kHz)*kHz)*M1M2_calc*data!C292)/(7*Rsense*Vout_nom)</f>
        <v>2.5978900426540812</v>
      </c>
    </row>
    <row r="293" spans="1:4" x14ac:dyDescent="0.25">
      <c r="A293" s="7">
        <v>11</v>
      </c>
      <c r="B293" s="7">
        <f t="shared" si="45"/>
        <v>0.98228725072868905</v>
      </c>
      <c r="C293" s="7">
        <f>ABS(CALCULATIONS!C24*B293)</f>
        <v>35.362341026232805</v>
      </c>
      <c r="D293" s="7">
        <f>((1/(fsw/kHz)*kHz)*M1M2_calc*data!C293)/(7*Rsense*Vout_nom)</f>
        <v>2.683199393486051</v>
      </c>
    </row>
    <row r="294" spans="1:4" x14ac:dyDescent="0.25">
      <c r="A294" s="7">
        <v>12</v>
      </c>
      <c r="B294" s="7">
        <f t="shared" si="45"/>
        <v>0.998026728428272</v>
      </c>
      <c r="C294" s="7">
        <f>ABS(CALCULATIONS!C24*B294)</f>
        <v>35.928962223417791</v>
      </c>
      <c r="D294" s="7">
        <f>((1/(fsw/kHz)*kHz)*M1M2_calc*data!C294)/(7*Rsense*Vout_nom)</f>
        <v>2.7261930870171227</v>
      </c>
    </row>
    <row r="295" spans="1:4" x14ac:dyDescent="0.25">
      <c r="A295" s="7">
        <v>13</v>
      </c>
      <c r="B295" s="7">
        <f t="shared" si="45"/>
        <v>0.998026728428272</v>
      </c>
      <c r="C295" s="7">
        <f>ABS(CALCULATIONS!C24*B295)</f>
        <v>35.928962223417791</v>
      </c>
      <c r="D295" s="7">
        <f>((1/(fsw/kHz)*kHz)*M1M2_calc*data!C295)/(7*Rsense*Vout_nom)</f>
        <v>2.7261930870171227</v>
      </c>
    </row>
    <row r="296" spans="1:4" x14ac:dyDescent="0.25">
      <c r="A296" s="7">
        <v>14</v>
      </c>
      <c r="B296" s="7">
        <f t="shared" si="45"/>
        <v>0.98228725072868905</v>
      </c>
      <c r="C296" s="7">
        <f>ABS(CALCULATIONS!C24*B296)</f>
        <v>35.362341026232805</v>
      </c>
      <c r="D296" s="7">
        <f>((1/(fsw/kHz)*kHz)*M1M2_calc*data!C296)/(7*Rsense*Vout_nom)</f>
        <v>2.683199393486051</v>
      </c>
    </row>
    <row r="297" spans="1:4" x14ac:dyDescent="0.25">
      <c r="A297" s="7">
        <v>15</v>
      </c>
      <c r="B297" s="7">
        <f t="shared" si="45"/>
        <v>0.95105651629515398</v>
      </c>
      <c r="C297" s="7">
        <f>ABS(CALCULATIONS!C24*B297)</f>
        <v>34.238034586625545</v>
      </c>
      <c r="D297" s="7">
        <f>((1/(fsw/kHz)*kHz)*M1M2_calc*data!C297)/(7*Rsense*Vout_nom)</f>
        <v>2.5978900426540812</v>
      </c>
    </row>
    <row r="298" spans="1:4" x14ac:dyDescent="0.25">
      <c r="A298" s="7">
        <v>16</v>
      </c>
      <c r="B298" s="7">
        <f t="shared" si="45"/>
        <v>0.90482705246601902</v>
      </c>
      <c r="C298" s="7">
        <f>ABS(CALCULATIONS!C24*B298)</f>
        <v>32.573773888776685</v>
      </c>
      <c r="D298" s="7">
        <f>((1/(fsw/kHz)*kHz)*M1M2_calc*data!C298)/(7*Rsense*Vout_nom)</f>
        <v>2.4716104139451653</v>
      </c>
    </row>
    <row r="299" spans="1:4" x14ac:dyDescent="0.25">
      <c r="A299" s="7">
        <v>17</v>
      </c>
      <c r="B299" s="7">
        <f t="shared" si="45"/>
        <v>0.84432792550201496</v>
      </c>
      <c r="C299" s="7">
        <f>ABS(CALCULATIONS!C24*B299)</f>
        <v>30.39580531807254</v>
      </c>
      <c r="D299" s="7">
        <f>((1/(fsw/kHz)*kHz)*M1M2_calc*data!C299)/(7*Rsense*Vout_nom)</f>
        <v>2.3063520125398442</v>
      </c>
    </row>
    <row r="300" spans="1:4" x14ac:dyDescent="0.25">
      <c r="A300" s="7">
        <v>18</v>
      </c>
      <c r="B300" s="7">
        <f t="shared" si="45"/>
        <v>0.77051324277578903</v>
      </c>
      <c r="C300" s="7">
        <f>ABS(CALCULATIONS!C24*B300)</f>
        <v>27.738476739928405</v>
      </c>
      <c r="D300" s="7">
        <f>((1/(fsw/kHz)*kHz)*M1M2_calc*data!C300)/(7*Rsense*Vout_nom)</f>
        <v>2.1047210621488577</v>
      </c>
    </row>
    <row r="301" spans="1:4" x14ac:dyDescent="0.25">
      <c r="A301" s="7">
        <v>19</v>
      </c>
      <c r="B301" s="7">
        <f t="shared" si="45"/>
        <v>0.68454710592868895</v>
      </c>
      <c r="C301" s="7">
        <f>ABS(CALCULATIONS!C24*B301)</f>
        <v>24.643695813432803</v>
      </c>
      <c r="D301" s="7">
        <f>((1/(fsw/kHz)*kHz)*M1M2_calc*data!C301)/(7*Rsense*Vout_nom)</f>
        <v>1.8698974033083662</v>
      </c>
    </row>
    <row r="302" spans="1:4" x14ac:dyDescent="0.25">
      <c r="A302" s="7">
        <v>20</v>
      </c>
      <c r="B302" s="7">
        <f t="shared" si="45"/>
        <v>0.58778525229247303</v>
      </c>
      <c r="C302" s="7">
        <f>ABS(CALCULATIONS!C24*B302)</f>
        <v>21.16026908252903</v>
      </c>
      <c r="D302" s="7">
        <f>((1/(fsw/kHz)*kHz)*M1M2_calc*data!C302)/(7*Rsense*Vout_nom)</f>
        <v>1.6055843453951353</v>
      </c>
    </row>
    <row r="303" spans="1:4" x14ac:dyDescent="0.25">
      <c r="A303" s="7">
        <v>21</v>
      </c>
      <c r="B303" s="7">
        <f t="shared" si="45"/>
        <v>0.48175367410171499</v>
      </c>
      <c r="C303" s="7">
        <f>ABS(CALCULATIONS!C24*B303)</f>
        <v>17.343132267661741</v>
      </c>
      <c r="D303" s="7">
        <f>((1/(fsw/kHz)*kHz)*M1M2_calc*data!C303)/(7*Rsense*Vout_nom)</f>
        <v>1.3159502632254261</v>
      </c>
    </row>
    <row r="304" spans="1:4" x14ac:dyDescent="0.25">
      <c r="A304" s="7">
        <v>22</v>
      </c>
      <c r="B304" s="7">
        <f t="shared" si="45"/>
        <v>0.36812455268467797</v>
      </c>
      <c r="C304" s="7">
        <f>ABS(CALCULATIONS!C24*B304)</f>
        <v>13.252483896648407</v>
      </c>
      <c r="D304" s="7">
        <f>((1/(fsw/kHz)*kHz)*M1M2_calc*data!C304)/(7*Rsense*Vout_nom)</f>
        <v>1.0055628592940702</v>
      </c>
    </row>
    <row r="305" spans="1:4" x14ac:dyDescent="0.25">
      <c r="A305" s="7">
        <v>23</v>
      </c>
      <c r="B305" s="7">
        <f t="shared" si="45"/>
        <v>0.24868988716485499</v>
      </c>
      <c r="C305" s="7">
        <f>ABS(CALCULATIONS!C24*B305)</f>
        <v>8.9528359379347791</v>
      </c>
      <c r="D305" s="7">
        <f>((1/(fsw/kHz)*kHz)*M1M2_calc*data!C305)/(7*Rsense*Vout_nom)</f>
        <v>0.67931712837751113</v>
      </c>
    </row>
    <row r="306" spans="1:4" x14ac:dyDescent="0.25">
      <c r="A306" s="7">
        <v>24</v>
      </c>
      <c r="B306" s="7">
        <f t="shared" si="45"/>
        <v>0.12533323356430501</v>
      </c>
      <c r="C306" s="7">
        <f>ABS(CALCULATIONS!C24*B306)</f>
        <v>4.5119964083149799</v>
      </c>
      <c r="D306" s="7">
        <f>((1/(fsw/kHz)*kHz)*M1M2_calc*data!C306)/(7*Rsense*Vout_nom)</f>
        <v>0.34235816054205742</v>
      </c>
    </row>
    <row r="307" spans="1:4" x14ac:dyDescent="0.25">
      <c r="A307" s="7">
        <v>25</v>
      </c>
      <c r="B307" s="7">
        <f t="shared" si="45"/>
        <v>1.22464679914735E-16</v>
      </c>
      <c r="C307" s="7">
        <f>ABS(CALCULATIONS!C24*B307)</f>
        <v>4.4087284769304598E-15</v>
      </c>
      <c r="D307" s="7">
        <f>((1/(fsw/kHz)*kHz)*M1M2_calc*data!C307)/(7*Rsense*Vout_nom)</f>
        <v>3.3452246746246315E-16</v>
      </c>
    </row>
    <row r="308" spans="1:4" x14ac:dyDescent="0.25">
      <c r="A308" s="7">
        <v>26</v>
      </c>
      <c r="B308" s="7">
        <f t="shared" si="45"/>
        <v>-0.12533323356430401</v>
      </c>
      <c r="C308" s="7">
        <f>ABS(CALCULATIONS!C24*B308)</f>
        <v>4.5119964083149444</v>
      </c>
      <c r="D308" s="7">
        <f>((1/(fsw/kHz)*kHz)*M1M2_calc*data!C308)/(7*Rsense*Vout_nom)</f>
        <v>0.34235816054205476</v>
      </c>
    </row>
    <row r="309" spans="1:4" x14ac:dyDescent="0.25">
      <c r="A309" s="7">
        <v>27</v>
      </c>
      <c r="B309" s="7">
        <f t="shared" si="45"/>
        <v>-0.24868988716485499</v>
      </c>
      <c r="C309" s="7">
        <f>ABS(CALCULATIONS!C24*B309)</f>
        <v>8.9528359379347791</v>
      </c>
      <c r="D309" s="7">
        <f>((1/(fsw/kHz)*kHz)*M1M2_calc*data!C309)/(7*Rsense*Vout_nom)</f>
        <v>0.67931712837751113</v>
      </c>
    </row>
    <row r="310" spans="1:4" x14ac:dyDescent="0.25">
      <c r="A310" s="7">
        <v>28</v>
      </c>
      <c r="B310" s="7">
        <f t="shared" si="45"/>
        <v>-0.36812455268467797</v>
      </c>
      <c r="C310" s="7">
        <f>ABS(CALCULATIONS!C24*B310)</f>
        <v>13.252483896648407</v>
      </c>
      <c r="D310" s="7">
        <f>((1/(fsw/kHz)*kHz)*M1M2_calc*data!C310)/(7*Rsense*Vout_nom)</f>
        <v>1.0055628592940702</v>
      </c>
    </row>
    <row r="311" spans="1:4" x14ac:dyDescent="0.25">
      <c r="A311" s="7">
        <v>29</v>
      </c>
      <c r="B311" s="7">
        <f t="shared" si="45"/>
        <v>-0.48175367410171499</v>
      </c>
      <c r="C311" s="7">
        <f>ABS(CALCULATIONS!C24*B311)</f>
        <v>17.343132267661741</v>
      </c>
      <c r="D311" s="7">
        <f>((1/(fsw/kHz)*kHz)*M1M2_calc*data!C311)/(7*Rsense*Vout_nom)</f>
        <v>1.3159502632254261</v>
      </c>
    </row>
    <row r="312" spans="1:4" x14ac:dyDescent="0.25">
      <c r="A312" s="7">
        <v>30</v>
      </c>
      <c r="B312" s="7">
        <f t="shared" si="45"/>
        <v>-0.58778525229247303</v>
      </c>
      <c r="C312" s="7">
        <f>ABS(CALCULATIONS!C24*B312)</f>
        <v>21.16026908252903</v>
      </c>
      <c r="D312" s="7">
        <f>((1/(fsw/kHz)*kHz)*M1M2_calc*data!C312)/(7*Rsense*Vout_nom)</f>
        <v>1.6055843453951353</v>
      </c>
    </row>
    <row r="313" spans="1:4" x14ac:dyDescent="0.25">
      <c r="A313" s="7">
        <v>31</v>
      </c>
      <c r="B313" s="7">
        <f t="shared" si="45"/>
        <v>-0.68454710592868795</v>
      </c>
      <c r="C313" s="7">
        <f>ABS(CALCULATIONS!C24*B313)</f>
        <v>24.643695813432767</v>
      </c>
      <c r="D313" s="7">
        <f>((1/(fsw/kHz)*kHz)*M1M2_calc*data!C313)/(7*Rsense*Vout_nom)</f>
        <v>1.8698974033083637</v>
      </c>
    </row>
    <row r="314" spans="1:4" x14ac:dyDescent="0.25">
      <c r="A314" s="7">
        <v>32</v>
      </c>
      <c r="B314" s="7">
        <f t="shared" si="45"/>
        <v>-0.77051324277578903</v>
      </c>
      <c r="C314" s="7">
        <f>ABS(CALCULATIONS!C24*B314)</f>
        <v>27.738476739928405</v>
      </c>
      <c r="D314" s="7">
        <f>((1/(fsw/kHz)*kHz)*M1M2_calc*data!C314)/(7*Rsense*Vout_nom)</f>
        <v>2.1047210621488577</v>
      </c>
    </row>
    <row r="315" spans="1:4" x14ac:dyDescent="0.25">
      <c r="A315" s="7">
        <v>33</v>
      </c>
      <c r="B315" s="7">
        <f t="shared" si="45"/>
        <v>-0.84432792550201496</v>
      </c>
      <c r="C315" s="7">
        <f>ABS(CALCULATIONS!C24*B315)</f>
        <v>30.39580531807254</v>
      </c>
      <c r="D315" s="7">
        <f>((1/(fsw/kHz)*kHz)*M1M2_calc*data!C315)/(7*Rsense*Vout_nom)</f>
        <v>2.3063520125398442</v>
      </c>
    </row>
    <row r="316" spans="1:4" x14ac:dyDescent="0.25">
      <c r="A316" s="7">
        <v>34</v>
      </c>
      <c r="B316" s="7">
        <f t="shared" si="45"/>
        <v>-0.90482705246602002</v>
      </c>
      <c r="C316" s="7">
        <f>ABS(CALCULATIONS!C24*B316)</f>
        <v>32.573773888776721</v>
      </c>
      <c r="D316" s="7">
        <f>((1/(fsw/kHz)*kHz)*M1M2_calc*data!C316)/(7*Rsense*Vout_nom)</f>
        <v>2.471610413945168</v>
      </c>
    </row>
    <row r="317" spans="1:4" x14ac:dyDescent="0.25">
      <c r="A317" s="7">
        <v>35</v>
      </c>
      <c r="B317" s="7">
        <f t="shared" si="45"/>
        <v>-0.95105651629515398</v>
      </c>
      <c r="C317" s="7">
        <f>ABS(CALCULATIONS!C24*B317)</f>
        <v>34.238034586625545</v>
      </c>
      <c r="D317" s="7">
        <f>((1/(fsw/kHz)*kHz)*M1M2_calc*data!C317)/(7*Rsense*Vout_nom)</f>
        <v>2.5978900426540812</v>
      </c>
    </row>
    <row r="318" spans="1:4" x14ac:dyDescent="0.25">
      <c r="A318" s="7">
        <v>36</v>
      </c>
      <c r="B318" s="7">
        <f t="shared" si="45"/>
        <v>-0.98228725072868905</v>
      </c>
      <c r="C318" s="7">
        <f>ABS(CALCULATIONS!C24*B318)</f>
        <v>35.362341026232805</v>
      </c>
      <c r="D318" s="7">
        <f>((1/(fsw/kHz)*kHz)*M1M2_calc*data!C318)/(7*Rsense*Vout_nom)</f>
        <v>2.683199393486051</v>
      </c>
    </row>
    <row r="319" spans="1:4" x14ac:dyDescent="0.25">
      <c r="A319" s="7">
        <v>37</v>
      </c>
      <c r="B319" s="7">
        <f t="shared" si="45"/>
        <v>-0.998026728428272</v>
      </c>
      <c r="C319" s="7">
        <f>ABS(CALCULATIONS!C24*B319)</f>
        <v>35.928962223417791</v>
      </c>
      <c r="D319" s="7">
        <f>((1/(fsw/kHz)*kHz)*M1M2_calc*data!C319)/(7*Rsense*Vout_nom)</f>
        <v>2.7261930870171227</v>
      </c>
    </row>
    <row r="320" spans="1:4" x14ac:dyDescent="0.25">
      <c r="A320" s="7">
        <v>38</v>
      </c>
      <c r="B320" s="7">
        <f t="shared" si="45"/>
        <v>-0.998026728428272</v>
      </c>
      <c r="C320" s="7">
        <f>ABS(CALCULATIONS!C24*B320)</f>
        <v>35.928962223417791</v>
      </c>
      <c r="D320" s="7">
        <f>((1/(fsw/kHz)*kHz)*M1M2_calc*data!C320)/(7*Rsense*Vout_nom)</f>
        <v>2.7261930870171227</v>
      </c>
    </row>
    <row r="321" spans="1:4" x14ac:dyDescent="0.25">
      <c r="A321" s="7">
        <v>39</v>
      </c>
      <c r="B321" s="7">
        <f t="shared" si="45"/>
        <v>-0.98228725072868905</v>
      </c>
      <c r="C321" s="7">
        <f>ABS(CALCULATIONS!C24*B321)</f>
        <v>35.362341026232805</v>
      </c>
      <c r="D321" s="7">
        <f>((1/(fsw/kHz)*kHz)*M1M2_calc*data!C321)/(7*Rsense*Vout_nom)</f>
        <v>2.683199393486051</v>
      </c>
    </row>
    <row r="322" spans="1:4" x14ac:dyDescent="0.25">
      <c r="A322" s="7">
        <v>40</v>
      </c>
      <c r="B322" s="7">
        <f t="shared" si="45"/>
        <v>-0.95105651629515398</v>
      </c>
      <c r="C322" s="7">
        <f>ABS(CALCULATIONS!C24*B322)</f>
        <v>34.238034586625545</v>
      </c>
      <c r="D322" s="7">
        <f>((1/(fsw/kHz)*kHz)*M1M2_calc*data!C322)/(7*Rsense*Vout_nom)</f>
        <v>2.5978900426540812</v>
      </c>
    </row>
    <row r="323" spans="1:4" x14ac:dyDescent="0.25">
      <c r="A323" s="7">
        <v>41</v>
      </c>
      <c r="B323" s="7">
        <f t="shared" si="45"/>
        <v>-0.90482705246602002</v>
      </c>
      <c r="C323" s="7">
        <f>ABS(CALCULATIONS!C24*B323)</f>
        <v>32.573773888776721</v>
      </c>
      <c r="D323" s="7">
        <f>((1/(fsw/kHz)*kHz)*M1M2_calc*data!C323)/(7*Rsense*Vout_nom)</f>
        <v>2.471610413945168</v>
      </c>
    </row>
    <row r="324" spans="1:4" x14ac:dyDescent="0.25">
      <c r="A324" s="7">
        <v>42</v>
      </c>
      <c r="B324" s="7">
        <f t="shared" si="45"/>
        <v>-0.84432792550201496</v>
      </c>
      <c r="C324" s="7">
        <f>ABS(CALCULATIONS!C24*B324)</f>
        <v>30.39580531807254</v>
      </c>
      <c r="D324" s="7">
        <f>((1/(fsw/kHz)*kHz)*M1M2_calc*data!C324)/(7*Rsense*Vout_nom)</f>
        <v>2.3063520125398442</v>
      </c>
    </row>
    <row r="325" spans="1:4" x14ac:dyDescent="0.25">
      <c r="A325" s="7">
        <v>43</v>
      </c>
      <c r="B325" s="7">
        <f t="shared" si="45"/>
        <v>-0.77051324277579003</v>
      </c>
      <c r="C325" s="7">
        <f>ABS(CALCULATIONS!C24*B325)</f>
        <v>27.738476739928441</v>
      </c>
      <c r="D325" s="7">
        <f>((1/(fsw/kHz)*kHz)*M1M2_calc*data!C325)/(7*Rsense*Vout_nom)</f>
        <v>2.1047210621488599</v>
      </c>
    </row>
    <row r="326" spans="1:4" x14ac:dyDescent="0.25">
      <c r="A326" s="7">
        <v>44</v>
      </c>
      <c r="B326" s="7">
        <f t="shared" si="45"/>
        <v>-0.68454710592868895</v>
      </c>
      <c r="C326" s="7">
        <f>ABS(CALCULATIONS!C24*B326)</f>
        <v>24.643695813432803</v>
      </c>
      <c r="D326" s="7">
        <f>((1/(fsw/kHz)*kHz)*M1M2_calc*data!C326)/(7*Rsense*Vout_nom)</f>
        <v>1.8698974033083662</v>
      </c>
    </row>
    <row r="327" spans="1:4" x14ac:dyDescent="0.25">
      <c r="A327" s="7">
        <v>45</v>
      </c>
      <c r="B327" s="7">
        <f t="shared" si="45"/>
        <v>-0.58778525229247303</v>
      </c>
      <c r="C327" s="7">
        <f>ABS(CALCULATIONS!C24*B327)</f>
        <v>21.16026908252903</v>
      </c>
      <c r="D327" s="7">
        <f>((1/(fsw/kHz)*kHz)*M1M2_calc*data!C327)/(7*Rsense*Vout_nom)</f>
        <v>1.6055843453951353</v>
      </c>
    </row>
    <row r="328" spans="1:4" x14ac:dyDescent="0.25">
      <c r="A328" s="7">
        <v>46</v>
      </c>
      <c r="B328" s="7">
        <f t="shared" si="45"/>
        <v>-0.48175367410171599</v>
      </c>
      <c r="C328" s="7">
        <f>ABS(CALCULATIONS!C24*B328)</f>
        <v>17.343132267661776</v>
      </c>
      <c r="D328" s="7">
        <f>((1/(fsw/kHz)*kHz)*M1M2_calc*data!C328)/(7*Rsense*Vout_nom)</f>
        <v>1.3159502632254287</v>
      </c>
    </row>
    <row r="329" spans="1:4" x14ac:dyDescent="0.25">
      <c r="A329" s="7">
        <v>47</v>
      </c>
      <c r="B329" s="7">
        <f t="shared" si="45"/>
        <v>-0.36812455268467797</v>
      </c>
      <c r="C329" s="7">
        <f>ABS(CALCULATIONS!C24*B329)</f>
        <v>13.252483896648407</v>
      </c>
      <c r="D329" s="7">
        <f>((1/(fsw/kHz)*kHz)*M1M2_calc*data!C329)/(7*Rsense*Vout_nom)</f>
        <v>1.0055628592940702</v>
      </c>
    </row>
    <row r="330" spans="1:4" x14ac:dyDescent="0.25">
      <c r="A330" s="7">
        <v>48</v>
      </c>
      <c r="B330" s="7">
        <f t="shared" si="45"/>
        <v>-0.24868988716485499</v>
      </c>
      <c r="C330" s="7">
        <f>ABS(CALCULATIONS!C24*B330)</f>
        <v>8.9528359379347791</v>
      </c>
      <c r="D330" s="7">
        <f>((1/(fsw/kHz)*kHz)*M1M2_calc*data!C330)/(7*Rsense*Vout_nom)</f>
        <v>0.67931712837751113</v>
      </c>
    </row>
    <row r="331" spans="1:4" x14ac:dyDescent="0.25">
      <c r="A331" s="7">
        <v>49</v>
      </c>
      <c r="B331" s="7">
        <f t="shared" si="45"/>
        <v>-0.12533323356430501</v>
      </c>
      <c r="C331" s="7">
        <f>ABS(CALCULATIONS!C24*B331)</f>
        <v>4.5119964083149799</v>
      </c>
      <c r="D331" s="7">
        <f>((1/(fsw/kHz)*kHz)*M1M2_calc*data!C331)/(7*Rsense*Vout_nom)</f>
        <v>0.34235816054205742</v>
      </c>
    </row>
    <row r="332" spans="1:4" x14ac:dyDescent="0.25">
      <c r="A332" s="7">
        <v>50</v>
      </c>
      <c r="B332" s="7">
        <f t="shared" si="45"/>
        <v>-2.4492935982947099E-16</v>
      </c>
      <c r="C332" s="7">
        <f>ABS(CALCULATIONS!C24*B332)</f>
        <v>8.8174569538609559E-15</v>
      </c>
      <c r="D332" s="7">
        <f>((1/(fsw/kHz)*kHz)*M1M2_calc*data!C332)/(7*Rsense*Vout_nom)</f>
        <v>6.6904493492492906E-16</v>
      </c>
    </row>
    <row r="333" spans="1:4" x14ac:dyDescent="0.25">
      <c r="A333" s="7">
        <v>51</v>
      </c>
      <c r="B333" s="7">
        <f t="shared" si="45"/>
        <v>0.12533323356430401</v>
      </c>
      <c r="C333" s="7">
        <f>ABS(CALCULATIONS!C24*B333)</f>
        <v>4.5119964083149444</v>
      </c>
      <c r="D333" s="7">
        <f>((1/(fsw/kHz)*kHz)*M1M2_calc*data!C333)/(7*Rsense*Vout_nom)</f>
        <v>0.34235816054205476</v>
      </c>
    </row>
    <row r="334" spans="1:4" x14ac:dyDescent="0.25">
      <c r="A334" s="7">
        <v>52</v>
      </c>
      <c r="B334" s="7">
        <f t="shared" si="45"/>
        <v>0.24868988716485499</v>
      </c>
      <c r="C334" s="7">
        <f>ABS(CALCULATIONS!C24*B334)</f>
        <v>8.9528359379347791</v>
      </c>
      <c r="D334" s="7">
        <f>((1/(fsw/kHz)*kHz)*M1M2_calc*data!C334)/(7*Rsense*Vout_nom)</f>
        <v>0.67931712837751113</v>
      </c>
    </row>
    <row r="335" spans="1:4" x14ac:dyDescent="0.25">
      <c r="A335" s="7">
        <v>53</v>
      </c>
      <c r="B335" s="7">
        <f t="shared" si="45"/>
        <v>0.36812455268467797</v>
      </c>
      <c r="C335" s="7">
        <f>ABS(CALCULATIONS!C24*B335)</f>
        <v>13.252483896648407</v>
      </c>
      <c r="D335" s="7">
        <f>((1/(fsw/kHz)*kHz)*M1M2_calc*data!C335)/(7*Rsense*Vout_nom)</f>
        <v>1.0055628592940702</v>
      </c>
    </row>
    <row r="336" spans="1:4" x14ac:dyDescent="0.25">
      <c r="A336" s="7">
        <v>54</v>
      </c>
      <c r="B336" s="7">
        <f t="shared" si="45"/>
        <v>0.48175367410171499</v>
      </c>
      <c r="C336" s="7">
        <f>ABS(CALCULATIONS!C24*B336)</f>
        <v>17.343132267661741</v>
      </c>
      <c r="D336" s="7">
        <f>((1/(fsw/kHz)*kHz)*M1M2_calc*data!C336)/(7*Rsense*Vout_nom)</f>
        <v>1.3159502632254261</v>
      </c>
    </row>
    <row r="337" spans="1:4" x14ac:dyDescent="0.25">
      <c r="A337" s="7">
        <v>55</v>
      </c>
      <c r="B337" s="7">
        <f t="shared" si="45"/>
        <v>0.58778525229247303</v>
      </c>
      <c r="C337" s="7">
        <f>ABS(CALCULATIONS!C24*B337)</f>
        <v>21.16026908252903</v>
      </c>
      <c r="D337" s="7">
        <f>((1/(fsw/kHz)*kHz)*M1M2_calc*data!C337)/(7*Rsense*Vout_nom)</f>
        <v>1.6055843453951353</v>
      </c>
    </row>
    <row r="338" spans="1:4" x14ac:dyDescent="0.25">
      <c r="A338" s="7">
        <v>56</v>
      </c>
      <c r="B338" s="7">
        <f t="shared" si="45"/>
        <v>0.68454710592868895</v>
      </c>
      <c r="C338" s="7">
        <f>ABS(CALCULATIONS!C24*B338)</f>
        <v>24.643695813432803</v>
      </c>
      <c r="D338" s="7">
        <f>((1/(fsw/kHz)*kHz)*M1M2_calc*data!C338)/(7*Rsense*Vout_nom)</f>
        <v>1.8698974033083662</v>
      </c>
    </row>
    <row r="339" spans="1:4" x14ac:dyDescent="0.25">
      <c r="A339" s="7">
        <v>57</v>
      </c>
      <c r="B339" s="7">
        <f t="shared" si="45"/>
        <v>0.77051324277578903</v>
      </c>
      <c r="C339" s="7">
        <f>ABS(CALCULATIONS!C24*B339)</f>
        <v>27.738476739928405</v>
      </c>
      <c r="D339" s="7">
        <f>((1/(fsw/kHz)*kHz)*M1M2_calc*data!C339)/(7*Rsense*Vout_nom)</f>
        <v>2.1047210621488577</v>
      </c>
    </row>
    <row r="340" spans="1:4" x14ac:dyDescent="0.25">
      <c r="A340" s="7">
        <v>58</v>
      </c>
      <c r="B340" s="7">
        <f t="shared" si="45"/>
        <v>0.84432792550201496</v>
      </c>
      <c r="C340" s="7">
        <f>ABS(CALCULATIONS!C24*B340)</f>
        <v>30.39580531807254</v>
      </c>
      <c r="D340" s="7">
        <f>((1/(fsw/kHz)*kHz)*M1M2_calc*data!C340)/(7*Rsense*Vout_nom)</f>
        <v>2.3063520125398442</v>
      </c>
    </row>
    <row r="341" spans="1:4" x14ac:dyDescent="0.25">
      <c r="A341" s="7">
        <v>59</v>
      </c>
      <c r="B341" s="7">
        <f t="shared" si="45"/>
        <v>0.90482705246601902</v>
      </c>
      <c r="C341" s="7">
        <f>ABS(CALCULATIONS!C24*B341)</f>
        <v>32.573773888776685</v>
      </c>
      <c r="D341" s="7">
        <f>((1/(fsw/kHz)*kHz)*M1M2_calc*data!C341)/(7*Rsense*Vout_nom)</f>
        <v>2.4716104139451653</v>
      </c>
    </row>
    <row r="342" spans="1:4" x14ac:dyDescent="0.25">
      <c r="A342" s="7">
        <v>60</v>
      </c>
      <c r="B342" s="7">
        <f t="shared" si="45"/>
        <v>0.95105651629515298</v>
      </c>
      <c r="C342" s="7">
        <f>ABS(CALCULATIONS!C24*B342)</f>
        <v>34.23803458662551</v>
      </c>
      <c r="D342" s="7">
        <f>((1/(fsw/kHz)*kHz)*M1M2_calc*data!C342)/(7*Rsense*Vout_nom)</f>
        <v>2.5978900426540781</v>
      </c>
    </row>
    <row r="343" spans="1:4" x14ac:dyDescent="0.25">
      <c r="A343" s="7">
        <v>61</v>
      </c>
      <c r="B343" s="7">
        <f t="shared" si="45"/>
        <v>0.98228725072868905</v>
      </c>
      <c r="C343" s="7">
        <f>ABS(CALCULATIONS!C24*B343)</f>
        <v>35.362341026232805</v>
      </c>
      <c r="D343" s="7">
        <f>((1/(fsw/kHz)*kHz)*M1M2_calc*data!C343)/(7*Rsense*Vout_nom)</f>
        <v>2.683199393486051</v>
      </c>
    </row>
    <row r="344" spans="1:4" x14ac:dyDescent="0.25">
      <c r="A344" s="7">
        <v>62</v>
      </c>
      <c r="B344" s="7">
        <f t="shared" si="45"/>
        <v>0.998026728428272</v>
      </c>
      <c r="C344" s="7">
        <f>ABS(CALCULATIONS!C24*B344)</f>
        <v>35.928962223417791</v>
      </c>
      <c r="D344" s="7">
        <f>((1/(fsw/kHz)*kHz)*M1M2_calc*data!C344)/(7*Rsense*Vout_nom)</f>
        <v>2.7261930870171227</v>
      </c>
    </row>
    <row r="345" spans="1:4" x14ac:dyDescent="0.25">
      <c r="A345" s="7">
        <v>63</v>
      </c>
      <c r="B345" s="7">
        <f t="shared" si="45"/>
        <v>0.998026728428272</v>
      </c>
      <c r="C345" s="7">
        <f>ABS(CALCULATIONS!C24*B345)</f>
        <v>35.928962223417791</v>
      </c>
      <c r="D345" s="7">
        <f>((1/(fsw/kHz)*kHz)*M1M2_calc*data!C345)/(7*Rsense*Vout_nom)</f>
        <v>2.7261930870171227</v>
      </c>
    </row>
    <row r="346" spans="1:4" x14ac:dyDescent="0.25">
      <c r="A346" s="7">
        <v>64</v>
      </c>
      <c r="B346" s="7">
        <f t="shared" si="45"/>
        <v>0.98228725072868905</v>
      </c>
      <c r="C346" s="7">
        <f>ABS(CALCULATIONS!C24*B346)</f>
        <v>35.362341026232805</v>
      </c>
      <c r="D346" s="7">
        <f>((1/(fsw/kHz)*kHz)*M1M2_calc*data!C346)/(7*Rsense*Vout_nom)</f>
        <v>2.683199393486051</v>
      </c>
    </row>
    <row r="347" spans="1:4" x14ac:dyDescent="0.25">
      <c r="A347" s="7">
        <v>65</v>
      </c>
      <c r="B347" s="7">
        <f t="shared" si="45"/>
        <v>0.95105651629515398</v>
      </c>
      <c r="C347" s="7">
        <f>ABS(CALCULATIONS!C24*B347)</f>
        <v>34.238034586625545</v>
      </c>
      <c r="D347" s="7">
        <f>((1/(fsw/kHz)*kHz)*M1M2_calc*data!C347)/(7*Rsense*Vout_nom)</f>
        <v>2.5978900426540812</v>
      </c>
    </row>
    <row r="348" spans="1:4" x14ac:dyDescent="0.25">
      <c r="A348" s="7">
        <v>66</v>
      </c>
      <c r="B348" s="7">
        <f t="shared" ref="B348:B382" si="46">SIN(4*PI()*A348/100)</f>
        <v>0.90482705246601902</v>
      </c>
      <c r="C348" s="7">
        <f>ABS(CALCULATIONS!C24*B348)</f>
        <v>32.573773888776685</v>
      </c>
      <c r="D348" s="7">
        <f>((1/(fsw/kHz)*kHz)*M1M2_calc*data!C348)/(7*Rsense*Vout_nom)</f>
        <v>2.4716104139451653</v>
      </c>
    </row>
    <row r="349" spans="1:4" x14ac:dyDescent="0.25">
      <c r="A349" s="7">
        <v>67</v>
      </c>
      <c r="B349" s="7">
        <f t="shared" si="46"/>
        <v>0.84432792550201496</v>
      </c>
      <c r="C349" s="7">
        <f>ABS(CALCULATIONS!C24*B349)</f>
        <v>30.39580531807254</v>
      </c>
      <c r="D349" s="7">
        <f>((1/(fsw/kHz)*kHz)*M1M2_calc*data!C349)/(7*Rsense*Vout_nom)</f>
        <v>2.3063520125398442</v>
      </c>
    </row>
    <row r="350" spans="1:4" x14ac:dyDescent="0.25">
      <c r="A350" s="7">
        <v>68</v>
      </c>
      <c r="B350" s="7">
        <f t="shared" si="46"/>
        <v>0.77051324277578903</v>
      </c>
      <c r="C350" s="7">
        <f>ABS(CALCULATIONS!C24*B350)</f>
        <v>27.738476739928405</v>
      </c>
      <c r="D350" s="7">
        <f>((1/(fsw/kHz)*kHz)*M1M2_calc*data!C350)/(7*Rsense*Vout_nom)</f>
        <v>2.1047210621488577</v>
      </c>
    </row>
    <row r="351" spans="1:4" x14ac:dyDescent="0.25">
      <c r="A351" s="7">
        <v>69</v>
      </c>
      <c r="B351" s="7">
        <f t="shared" si="46"/>
        <v>0.68454710592868795</v>
      </c>
      <c r="C351" s="7">
        <f>ABS(CALCULATIONS!C24*B351)</f>
        <v>24.643695813432767</v>
      </c>
      <c r="D351" s="7">
        <f>((1/(fsw/kHz)*kHz)*M1M2_calc*data!C351)/(7*Rsense*Vout_nom)</f>
        <v>1.8698974033083637</v>
      </c>
    </row>
    <row r="352" spans="1:4" x14ac:dyDescent="0.25">
      <c r="A352" s="7">
        <v>70</v>
      </c>
      <c r="B352" s="7">
        <f t="shared" si="46"/>
        <v>0.58778525229247303</v>
      </c>
      <c r="C352" s="7">
        <f>ABS(CALCULATIONS!C24*B352)</f>
        <v>21.16026908252903</v>
      </c>
      <c r="D352" s="7">
        <f>((1/(fsw/kHz)*kHz)*M1M2_calc*data!C352)/(7*Rsense*Vout_nom)</f>
        <v>1.6055843453951353</v>
      </c>
    </row>
    <row r="353" spans="1:4" x14ac:dyDescent="0.25">
      <c r="A353" s="7">
        <v>71</v>
      </c>
      <c r="B353" s="7">
        <f t="shared" si="46"/>
        <v>0.48175367410171499</v>
      </c>
      <c r="C353" s="7">
        <f>ABS(CALCULATIONS!C24*B353)</f>
        <v>17.343132267661741</v>
      </c>
      <c r="D353" s="7">
        <f>((1/(fsw/kHz)*kHz)*M1M2_calc*data!C353)/(7*Rsense*Vout_nom)</f>
        <v>1.3159502632254261</v>
      </c>
    </row>
    <row r="354" spans="1:4" x14ac:dyDescent="0.25">
      <c r="A354" s="7">
        <v>72</v>
      </c>
      <c r="B354" s="7">
        <f t="shared" si="46"/>
        <v>0.36812455268467797</v>
      </c>
      <c r="C354" s="7">
        <f>ABS(CALCULATIONS!C24*B354)</f>
        <v>13.252483896648407</v>
      </c>
      <c r="D354" s="7">
        <f>((1/(fsw/kHz)*kHz)*M1M2_calc*data!C354)/(7*Rsense*Vout_nom)</f>
        <v>1.0055628592940702</v>
      </c>
    </row>
    <row r="355" spans="1:4" x14ac:dyDescent="0.25">
      <c r="A355" s="7">
        <v>73</v>
      </c>
      <c r="B355" s="7">
        <f t="shared" si="46"/>
        <v>0.24868988716485499</v>
      </c>
      <c r="C355" s="7">
        <f>ABS(CALCULATIONS!C24*B355)</f>
        <v>8.9528359379347791</v>
      </c>
      <c r="D355" s="7">
        <f>((1/(fsw/kHz)*kHz)*M1M2_calc*data!C355)/(7*Rsense*Vout_nom)</f>
        <v>0.67931712837751113</v>
      </c>
    </row>
    <row r="356" spans="1:4" x14ac:dyDescent="0.25">
      <c r="A356" s="7">
        <v>74</v>
      </c>
      <c r="B356" s="7">
        <f t="shared" si="46"/>
        <v>0.12533323356430401</v>
      </c>
      <c r="C356" s="7">
        <f>ABS(CALCULATIONS!C24*B356)</f>
        <v>4.5119964083149444</v>
      </c>
      <c r="D356" s="7">
        <f>((1/(fsw/kHz)*kHz)*M1M2_calc*data!C356)/(7*Rsense*Vout_nom)</f>
        <v>0.34235816054205476</v>
      </c>
    </row>
    <row r="357" spans="1:4" x14ac:dyDescent="0.25">
      <c r="A357" s="7">
        <v>75</v>
      </c>
      <c r="B357" s="7">
        <f t="shared" si="46"/>
        <v>3.6739403974420599E-16</v>
      </c>
      <c r="C357" s="7">
        <f>ABS(CALCULATIONS!C24*B357)</f>
        <v>1.3226185430791415E-14</v>
      </c>
      <c r="D357" s="7">
        <f>((1/(fsw/kHz)*kHz)*M1M2_calc*data!C357)/(7*Rsense*Vout_nom)</f>
        <v>1.0035674023873924E-15</v>
      </c>
    </row>
    <row r="358" spans="1:4" x14ac:dyDescent="0.25">
      <c r="A358" s="7">
        <v>76</v>
      </c>
      <c r="B358" s="7">
        <f t="shared" si="46"/>
        <v>-0.12533323356430301</v>
      </c>
      <c r="C358" s="7">
        <f>ABS(CALCULATIONS!C24*B358)</f>
        <v>4.511996408314908</v>
      </c>
      <c r="D358" s="7">
        <f>((1/(fsw/kHz)*kHz)*M1M2_calc*data!C358)/(7*Rsense*Vout_nom)</f>
        <v>0.34235816054205198</v>
      </c>
    </row>
    <row r="359" spans="1:4" x14ac:dyDescent="0.25">
      <c r="A359" s="7">
        <v>77</v>
      </c>
      <c r="B359" s="7">
        <f t="shared" si="46"/>
        <v>-0.24868988716485499</v>
      </c>
      <c r="C359" s="7">
        <f>ABS(CALCULATIONS!C24*B359)</f>
        <v>8.9528359379347791</v>
      </c>
      <c r="D359" s="7">
        <f>((1/(fsw/kHz)*kHz)*M1M2_calc*data!C359)/(7*Rsense*Vout_nom)</f>
        <v>0.67931712837751113</v>
      </c>
    </row>
    <row r="360" spans="1:4" x14ac:dyDescent="0.25">
      <c r="A360" s="7">
        <v>78</v>
      </c>
      <c r="B360" s="7">
        <f t="shared" si="46"/>
        <v>-0.36812455268467698</v>
      </c>
      <c r="C360" s="7">
        <f>ABS(CALCULATIONS!C24*B360)</f>
        <v>13.252483896648371</v>
      </c>
      <c r="D360" s="7">
        <f>((1/(fsw/kHz)*kHz)*M1M2_calc*data!C360)/(7*Rsense*Vout_nom)</f>
        <v>1.0055628592940675</v>
      </c>
    </row>
    <row r="361" spans="1:4" x14ac:dyDescent="0.25">
      <c r="A361" s="7">
        <v>79</v>
      </c>
      <c r="B361" s="7">
        <f t="shared" si="46"/>
        <v>-0.48175367410171599</v>
      </c>
      <c r="C361" s="7">
        <f>ABS(CALCULATIONS!C24*B361)</f>
        <v>17.343132267661776</v>
      </c>
      <c r="D361" s="7">
        <f>((1/(fsw/kHz)*kHz)*M1M2_calc*data!C361)/(7*Rsense*Vout_nom)</f>
        <v>1.3159502632254287</v>
      </c>
    </row>
    <row r="362" spans="1:4" x14ac:dyDescent="0.25">
      <c r="A362" s="7">
        <v>80</v>
      </c>
      <c r="B362" s="7">
        <f t="shared" si="46"/>
        <v>-0.58778525229247303</v>
      </c>
      <c r="C362" s="7">
        <f>ABS(CALCULATIONS!C24*B362)</f>
        <v>21.16026908252903</v>
      </c>
      <c r="D362" s="7">
        <f>((1/(fsw/kHz)*kHz)*M1M2_calc*data!C362)/(7*Rsense*Vout_nom)</f>
        <v>1.6055843453951353</v>
      </c>
    </row>
    <row r="363" spans="1:4" x14ac:dyDescent="0.25">
      <c r="A363" s="7">
        <v>81</v>
      </c>
      <c r="B363" s="7">
        <f t="shared" si="46"/>
        <v>-0.68454710592868795</v>
      </c>
      <c r="C363" s="7">
        <f>ABS(CALCULATIONS!C24*B363)</f>
        <v>24.643695813432767</v>
      </c>
      <c r="D363" s="7">
        <f>((1/(fsw/kHz)*kHz)*M1M2_calc*data!C363)/(7*Rsense*Vout_nom)</f>
        <v>1.8698974033083637</v>
      </c>
    </row>
    <row r="364" spans="1:4" x14ac:dyDescent="0.25">
      <c r="A364" s="7">
        <v>82</v>
      </c>
      <c r="B364" s="7">
        <f t="shared" si="46"/>
        <v>-0.77051324277578803</v>
      </c>
      <c r="C364" s="7">
        <f>ABS(CALCULATIONS!C24*B364)</f>
        <v>27.73847673992837</v>
      </c>
      <c r="D364" s="7">
        <f>((1/(fsw/kHz)*kHz)*M1M2_calc*data!C364)/(7*Rsense*Vout_nom)</f>
        <v>2.1047210621488546</v>
      </c>
    </row>
    <row r="365" spans="1:4" x14ac:dyDescent="0.25">
      <c r="A365" s="7">
        <v>83</v>
      </c>
      <c r="B365" s="7">
        <f t="shared" si="46"/>
        <v>-0.84432792550201596</v>
      </c>
      <c r="C365" s="7">
        <f>ABS(CALCULATIONS!C24*B365)</f>
        <v>30.395805318072576</v>
      </c>
      <c r="D365" s="7">
        <f>((1/(fsw/kHz)*kHz)*M1M2_calc*data!C365)/(7*Rsense*Vout_nom)</f>
        <v>2.3063520125398465</v>
      </c>
    </row>
    <row r="366" spans="1:4" x14ac:dyDescent="0.25">
      <c r="A366" s="7">
        <v>84</v>
      </c>
      <c r="B366" s="7">
        <f t="shared" si="46"/>
        <v>-0.90482705246602002</v>
      </c>
      <c r="C366" s="7">
        <f>ABS(CALCULATIONS!C24*B366)</f>
        <v>32.573773888776721</v>
      </c>
      <c r="D366" s="7">
        <f>((1/(fsw/kHz)*kHz)*M1M2_calc*data!C366)/(7*Rsense*Vout_nom)</f>
        <v>2.471610413945168</v>
      </c>
    </row>
    <row r="367" spans="1:4" x14ac:dyDescent="0.25">
      <c r="A367" s="7">
        <v>85</v>
      </c>
      <c r="B367" s="7">
        <f t="shared" si="46"/>
        <v>-0.95105651629515298</v>
      </c>
      <c r="C367" s="7">
        <f>ABS(CALCULATIONS!C24*B367)</f>
        <v>34.23803458662551</v>
      </c>
      <c r="D367" s="7">
        <f>((1/(fsw/kHz)*kHz)*M1M2_calc*data!C367)/(7*Rsense*Vout_nom)</f>
        <v>2.5978900426540781</v>
      </c>
    </row>
    <row r="368" spans="1:4" x14ac:dyDescent="0.25">
      <c r="A368" s="7">
        <v>86</v>
      </c>
      <c r="B368" s="7">
        <f t="shared" si="46"/>
        <v>-0.98228725072868806</v>
      </c>
      <c r="C368" s="7">
        <f>ABS(CALCULATIONS!C24*B368)</f>
        <v>35.36234102623277</v>
      </c>
      <c r="D368" s="7">
        <f>((1/(fsw/kHz)*kHz)*M1M2_calc*data!C368)/(7*Rsense*Vout_nom)</f>
        <v>2.6831993934860483</v>
      </c>
    </row>
    <row r="369" spans="1:4" x14ac:dyDescent="0.25">
      <c r="A369" s="7">
        <v>87</v>
      </c>
      <c r="B369" s="7">
        <f t="shared" si="46"/>
        <v>-0.998026728428271</v>
      </c>
      <c r="C369" s="7">
        <f>ABS(CALCULATIONS!C24*B369)</f>
        <v>35.928962223417756</v>
      </c>
      <c r="D369" s="7">
        <f>((1/(fsw/kHz)*kHz)*M1M2_calc*data!C369)/(7*Rsense*Vout_nom)</f>
        <v>2.72619308701712</v>
      </c>
    </row>
    <row r="370" spans="1:4" x14ac:dyDescent="0.25">
      <c r="A370" s="7">
        <v>88</v>
      </c>
      <c r="B370" s="7">
        <f t="shared" si="46"/>
        <v>-0.998026728428272</v>
      </c>
      <c r="C370" s="7">
        <f>ABS(CALCULATIONS!C24*B370)</f>
        <v>35.928962223417791</v>
      </c>
      <c r="D370" s="7">
        <f>((1/(fsw/kHz)*kHz)*M1M2_calc*data!C370)/(7*Rsense*Vout_nom)</f>
        <v>2.7261930870171227</v>
      </c>
    </row>
    <row r="371" spans="1:4" x14ac:dyDescent="0.25">
      <c r="A371" s="7">
        <v>89</v>
      </c>
      <c r="B371" s="7">
        <f t="shared" si="46"/>
        <v>-0.98228725072868905</v>
      </c>
      <c r="C371" s="7">
        <f>ABS(CALCULATIONS!C24*B371)</f>
        <v>35.362341026232805</v>
      </c>
      <c r="D371" s="7">
        <f>((1/(fsw/kHz)*kHz)*M1M2_calc*data!C371)/(7*Rsense*Vout_nom)</f>
        <v>2.683199393486051</v>
      </c>
    </row>
    <row r="372" spans="1:4" x14ac:dyDescent="0.25">
      <c r="A372" s="7">
        <v>90</v>
      </c>
      <c r="B372" s="7">
        <f t="shared" si="46"/>
        <v>-0.95105651629515398</v>
      </c>
      <c r="C372" s="7">
        <f>ABS(CALCULATIONS!C24*B372)</f>
        <v>34.238034586625545</v>
      </c>
      <c r="D372" s="7">
        <f>((1/(fsw/kHz)*kHz)*M1M2_calc*data!C372)/(7*Rsense*Vout_nom)</f>
        <v>2.5978900426540812</v>
      </c>
    </row>
    <row r="373" spans="1:4" x14ac:dyDescent="0.25">
      <c r="A373" s="7">
        <v>91</v>
      </c>
      <c r="B373" s="7">
        <f t="shared" si="46"/>
        <v>-0.90482705246602002</v>
      </c>
      <c r="C373" s="7">
        <f>ABS(CALCULATIONS!C24*B373)</f>
        <v>32.573773888776721</v>
      </c>
      <c r="D373" s="7">
        <f>((1/(fsw/kHz)*kHz)*M1M2_calc*data!C373)/(7*Rsense*Vout_nom)</f>
        <v>2.471610413945168</v>
      </c>
    </row>
    <row r="374" spans="1:4" x14ac:dyDescent="0.25">
      <c r="A374" s="7">
        <v>92</v>
      </c>
      <c r="B374" s="7">
        <f t="shared" si="46"/>
        <v>-0.84432792550201596</v>
      </c>
      <c r="C374" s="7">
        <f>ABS(CALCULATIONS!C24*B374)</f>
        <v>30.395805318072576</v>
      </c>
      <c r="D374" s="7">
        <f>((1/(fsw/kHz)*kHz)*M1M2_calc*data!C374)/(7*Rsense*Vout_nom)</f>
        <v>2.3063520125398465</v>
      </c>
    </row>
    <row r="375" spans="1:4" x14ac:dyDescent="0.25">
      <c r="A375" s="7">
        <v>93</v>
      </c>
      <c r="B375" s="7">
        <f t="shared" si="46"/>
        <v>-0.77051324277579003</v>
      </c>
      <c r="C375" s="7">
        <f>ABS(CALCULATIONS!C24*B375)</f>
        <v>27.738476739928441</v>
      </c>
      <c r="D375" s="7">
        <f>((1/(fsw/kHz)*kHz)*M1M2_calc*data!C375)/(7*Rsense*Vout_nom)</f>
        <v>2.1047210621488599</v>
      </c>
    </row>
    <row r="376" spans="1:4" x14ac:dyDescent="0.25">
      <c r="A376" s="7">
        <v>94</v>
      </c>
      <c r="B376" s="7">
        <f t="shared" si="46"/>
        <v>-0.68454710592868895</v>
      </c>
      <c r="C376" s="7">
        <f>ABS(CALCULATIONS!C24*B376)</f>
        <v>24.643695813432803</v>
      </c>
      <c r="D376" s="7">
        <f>((1/(fsw/kHz)*kHz)*M1M2_calc*data!C376)/(7*Rsense*Vout_nom)</f>
        <v>1.8698974033083662</v>
      </c>
    </row>
    <row r="377" spans="1:4" x14ac:dyDescent="0.25">
      <c r="A377" s="7">
        <v>95</v>
      </c>
      <c r="B377" s="7">
        <f t="shared" si="46"/>
        <v>-0.58778525229247303</v>
      </c>
      <c r="C377" s="7">
        <f>ABS(CALCULATIONS!C24*B377)</f>
        <v>21.16026908252903</v>
      </c>
      <c r="D377" s="7">
        <f>((1/(fsw/kHz)*kHz)*M1M2_calc*data!C377)/(7*Rsense*Vout_nom)</f>
        <v>1.6055843453951353</v>
      </c>
    </row>
    <row r="378" spans="1:4" x14ac:dyDescent="0.25">
      <c r="A378" s="7">
        <v>96</v>
      </c>
      <c r="B378" s="7">
        <f t="shared" si="46"/>
        <v>-0.48175367410171599</v>
      </c>
      <c r="C378" s="7">
        <f>ABS(CALCULATIONS!C24*B378)</f>
        <v>17.343132267661776</v>
      </c>
      <c r="D378" s="7">
        <f>((1/(fsw/kHz)*kHz)*M1M2_calc*data!C378)/(7*Rsense*Vout_nom)</f>
        <v>1.3159502632254287</v>
      </c>
    </row>
    <row r="379" spans="1:4" x14ac:dyDescent="0.25">
      <c r="A379" s="7">
        <v>97</v>
      </c>
      <c r="B379" s="7">
        <f t="shared" si="46"/>
        <v>-0.36812455268467797</v>
      </c>
      <c r="C379" s="7">
        <f>ABS(CALCULATIONS!C24*B379)</f>
        <v>13.252483896648407</v>
      </c>
      <c r="D379" s="7">
        <f>((1/(fsw/kHz)*kHz)*M1M2_calc*data!C379)/(7*Rsense*Vout_nom)</f>
        <v>1.0055628592940702</v>
      </c>
    </row>
    <row r="380" spans="1:4" x14ac:dyDescent="0.25">
      <c r="A380" s="7">
        <v>98</v>
      </c>
      <c r="B380" s="7">
        <f t="shared" si="46"/>
        <v>-0.24868988716485599</v>
      </c>
      <c r="C380" s="7">
        <f>ABS(CALCULATIONS!C24*B380)</f>
        <v>8.9528359379348164</v>
      </c>
      <c r="D380" s="7">
        <f>((1/(fsw/kHz)*kHz)*M1M2_calc*data!C380)/(7*Rsense*Vout_nom)</f>
        <v>0.67931712837751401</v>
      </c>
    </row>
    <row r="381" spans="1:4" x14ac:dyDescent="0.25">
      <c r="A381" s="7">
        <v>99</v>
      </c>
      <c r="B381" s="7">
        <f t="shared" si="46"/>
        <v>-0.12533323356430401</v>
      </c>
      <c r="C381" s="7">
        <f>ABS(CALCULATIONS!C24*B381)</f>
        <v>4.5119964083149444</v>
      </c>
      <c r="D381" s="7">
        <f>((1/(fsw/kHz)*kHz)*M1M2_calc*data!C381)/(7*Rsense*Vout_nom)</f>
        <v>0.34235816054205476</v>
      </c>
    </row>
    <row r="382" spans="1:4" x14ac:dyDescent="0.25">
      <c r="A382" s="7">
        <v>100</v>
      </c>
      <c r="B382" s="7">
        <f t="shared" si="46"/>
        <v>-4.8985871965894099E-16</v>
      </c>
      <c r="C382" s="7">
        <f>ABS(CALCULATIONS!C24*B382)</f>
        <v>1.7634913907721874E-14</v>
      </c>
      <c r="D382" s="7">
        <f>((1/(fsw/kHz)*kHz)*M1M2_calc*data!C382)/(7*Rsense*Vout_nom)</f>
        <v>1.3380898698498554E-15</v>
      </c>
    </row>
  </sheetData>
  <sheetProtection password="E59D" sheet="1" objects="1" scenarios="1"/>
  <mergeCells count="13">
    <mergeCell ref="A30:D30"/>
    <mergeCell ref="G75:H75"/>
    <mergeCell ref="A201:F201"/>
    <mergeCell ref="G201:O201"/>
    <mergeCell ref="P202:Q202"/>
    <mergeCell ref="R202:T202"/>
    <mergeCell ref="D203:E203"/>
    <mergeCell ref="K203:L203"/>
    <mergeCell ref="M203:N203"/>
    <mergeCell ref="A271:D271"/>
    <mergeCell ref="A202:A204"/>
    <mergeCell ref="G202:G204"/>
    <mergeCell ref="O202:O203"/>
  </mergeCells>
  <phoneticPr fontId="38" type="noConversion"/>
  <pageMargins left="0.75" right="0.75" top="1" bottom="1" header="0.5" footer="0.5"/>
  <pageSetup orientation="portrait"/>
  <headerFooter alignWithMargins="0"/>
  <ignoredErrors>
    <ignoredError sqref="C22 M205:M265 R205:R26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4" master="" otherUserPermission="visible"/>
  <rangeList sheetStid="1" master="" otherUserPermission="visible"/>
  <rangeList sheetStid="5"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189</vt:i4>
      </vt:variant>
    </vt:vector>
  </HeadingPairs>
  <TitlesOfParts>
    <vt:vector size="193" baseType="lpstr">
      <vt:lpstr>INSTRUCTIONS READ ME FIRST!</vt:lpstr>
      <vt:lpstr>CALCULATIONS</vt:lpstr>
      <vt:lpstr>SCHEMATIC</vt:lpstr>
      <vt:lpstr>data</vt:lpstr>
      <vt:lpstr>_Rfb1</vt:lpstr>
      <vt:lpstr>_Rfb2</vt:lpstr>
      <vt:lpstr>a_1</vt:lpstr>
      <vt:lpstr>a_2</vt:lpstr>
      <vt:lpstr>a_3</vt:lpstr>
      <vt:lpstr>b_1</vt:lpstr>
      <vt:lpstr>b_2</vt:lpstr>
      <vt:lpstr>b_3</vt:lpstr>
      <vt:lpstr>c_1</vt:lpstr>
      <vt:lpstr>c_2</vt:lpstr>
      <vt:lpstr>Cicomp</vt:lpstr>
      <vt:lpstr>Cin</vt:lpstr>
      <vt:lpstr>Cisense</vt:lpstr>
      <vt:lpstr>Coss</vt:lpstr>
      <vt:lpstr>Cout</vt:lpstr>
      <vt:lpstr>Cvcomp</vt:lpstr>
      <vt:lpstr>Cvcomp_p</vt:lpstr>
      <vt:lpstr>Cvins</vt:lpstr>
      <vt:lpstr>Cvins_hu</vt:lpstr>
      <vt:lpstr>Cvsense</vt:lpstr>
      <vt:lpstr>d_1</vt:lpstr>
      <vt:lpstr>d_2</vt:lpstr>
      <vt:lpstr>delta_Rfb1</vt:lpstr>
      <vt:lpstr>delta_Rfb2</vt:lpstr>
      <vt:lpstr>Dmax</vt:lpstr>
      <vt:lpstr>e_1</vt:lpstr>
      <vt:lpstr>e_2</vt:lpstr>
      <vt:lpstr>eff</vt:lpstr>
      <vt:lpstr>f_1</vt:lpstr>
      <vt:lpstr>f_2</vt:lpstr>
      <vt:lpstr>f_Iavg</vt:lpstr>
      <vt:lpstr>f_iavgactual</vt:lpstr>
      <vt:lpstr>fline_max</vt:lpstr>
      <vt:lpstr>fline_min</vt:lpstr>
      <vt:lpstr>fline_nom</vt:lpstr>
      <vt:lpstr>fpole</vt:lpstr>
      <vt:lpstr>fPWM_PSpole</vt:lpstr>
      <vt:lpstr>fsw</vt:lpstr>
      <vt:lpstr>fv</vt:lpstr>
      <vt:lpstr>fzero</vt:lpstr>
      <vt:lpstr>g_1</vt:lpstr>
      <vt:lpstr>g_2</vt:lpstr>
      <vt:lpstr>g_mi</vt:lpstr>
      <vt:lpstr>g_mv</vt:lpstr>
      <vt:lpstr>GVL_dB</vt:lpstr>
      <vt:lpstr>HU_rqment</vt:lpstr>
      <vt:lpstr>I_Lpeak</vt:lpstr>
      <vt:lpstr>Ibridge</vt:lpstr>
      <vt:lpstr>Icout_2fline</vt:lpstr>
      <vt:lpstr>Icout_HF</vt:lpstr>
      <vt:lpstr>Icout_rms</vt:lpstr>
      <vt:lpstr>Ids_rms</vt:lpstr>
      <vt:lpstr>Ifuse</vt:lpstr>
      <vt:lpstr>Iin_avg_max</vt:lpstr>
      <vt:lpstr>Iin_peak_max</vt:lpstr>
      <vt:lpstr>Iin_rms_max</vt:lpstr>
      <vt:lpstr>Iinrush</vt:lpstr>
      <vt:lpstr>IISENSE</vt:lpstr>
      <vt:lpstr>Il_peak_actual</vt:lpstr>
      <vt:lpstr>Iout</vt:lpstr>
      <vt:lpstr>Iout_OC</vt:lpstr>
      <vt:lpstr>Ipcl</vt:lpstr>
      <vt:lpstr>Iripple</vt:lpstr>
      <vt:lpstr>Iripple_actual</vt:lpstr>
      <vt:lpstr>Isoc</vt:lpstr>
      <vt:lpstr>Ivins</vt:lpstr>
      <vt:lpstr>K_1</vt:lpstr>
      <vt:lpstr>K_fq</vt:lpstr>
      <vt:lpstr>kHz</vt:lpstr>
      <vt:lpstr>kOhm</vt:lpstr>
      <vt:lpstr>L_I_ripple_factor</vt:lpstr>
      <vt:lpstr>Lbst</vt:lpstr>
      <vt:lpstr>M_1</vt:lpstr>
      <vt:lpstr>M_2</vt:lpstr>
      <vt:lpstr>M_3</vt:lpstr>
      <vt:lpstr>M1M2_calc</vt:lpstr>
      <vt:lpstr>mA</vt:lpstr>
      <vt:lpstr>MegOhm</vt:lpstr>
      <vt:lpstr>mH</vt:lpstr>
      <vt:lpstr>MHz</vt:lpstr>
      <vt:lpstr>mOhm</vt:lpstr>
      <vt:lpstr>ms</vt:lpstr>
      <vt:lpstr>mSiemens</vt:lpstr>
      <vt:lpstr>mV</vt:lpstr>
      <vt:lpstr>mW</vt:lpstr>
      <vt:lpstr>nC</vt:lpstr>
      <vt:lpstr>Ndropout</vt:lpstr>
      <vt:lpstr>nF</vt:lpstr>
      <vt:lpstr>Nibop</vt:lpstr>
      <vt:lpstr>Ninput_hup</vt:lpstr>
      <vt:lpstr>ns</vt:lpstr>
      <vt:lpstr>P_FET</vt:lpstr>
      <vt:lpstr>P_FETcond</vt:lpstr>
      <vt:lpstr>P_FETgate</vt:lpstr>
      <vt:lpstr>P_FETsw</vt:lpstr>
      <vt:lpstr>P_Rsense</vt:lpstr>
      <vt:lpstr>P_rvins</vt:lpstr>
      <vt:lpstr>P_rvins1</vt:lpstr>
      <vt:lpstr>Pbridge</vt:lpstr>
      <vt:lpstr>Pdiode</vt:lpstr>
      <vt:lpstr>Pdiode_cond</vt:lpstr>
      <vt:lpstr>Pdiode_reverse</vt:lpstr>
      <vt:lpstr>Pdivider</vt:lpstr>
      <vt:lpstr>PF</vt:lpstr>
      <vt:lpstr>picoF</vt:lpstr>
      <vt:lpstr>Pin_max</vt:lpstr>
      <vt:lpstr>Pout</vt:lpstr>
      <vt:lpstr>CALCULATIONS!Print_Area</vt:lpstr>
      <vt:lpstr>Prsense</vt:lpstr>
      <vt:lpstr>Pvins</vt:lpstr>
      <vt:lpstr>Qg</vt:lpstr>
      <vt:lpstr>Qrr</vt:lpstr>
      <vt:lpstr>Rds_on</vt:lpstr>
      <vt:lpstr>Rfb1_tempco</vt:lpstr>
      <vt:lpstr>Rfb2_tempco</vt:lpstr>
      <vt:lpstr>Risense</vt:lpstr>
      <vt:lpstr>Risense_actual</vt:lpstr>
      <vt:lpstr>Rjc_bridge</vt:lpstr>
      <vt:lpstr>Rsense</vt:lpstr>
      <vt:lpstr>Rth_case_hs</vt:lpstr>
      <vt:lpstr>Rth_diode</vt:lpstr>
      <vt:lpstr>Rth_hs_bridge</vt:lpstr>
      <vt:lpstr>Rth_hs_diode</vt:lpstr>
      <vt:lpstr>Rth_hs_FET</vt:lpstr>
      <vt:lpstr>Rth_jc_FET</vt:lpstr>
      <vt:lpstr>Rtherm</vt:lpstr>
      <vt:lpstr>Rvcomp</vt:lpstr>
      <vt:lpstr>Rvins1</vt:lpstr>
      <vt:lpstr>Rvins2</vt:lpstr>
      <vt:lpstr>t_dropout_hu</vt:lpstr>
      <vt:lpstr>t_RFB2Cvsense</vt:lpstr>
      <vt:lpstr>Tamb</vt:lpstr>
      <vt:lpstr>tf_FET</vt:lpstr>
      <vt:lpstr>tinput_hu</vt:lpstr>
      <vt:lpstr>Tj_bridge</vt:lpstr>
      <vt:lpstr>Tj_diode</vt:lpstr>
      <vt:lpstr>Tj_FET</vt:lpstr>
      <vt:lpstr>tr_FET</vt:lpstr>
      <vt:lpstr>uA</vt:lpstr>
      <vt:lpstr>uC</vt:lpstr>
      <vt:lpstr>uF</vt:lpstr>
      <vt:lpstr>uH</vt:lpstr>
      <vt:lpstr>us</vt:lpstr>
      <vt:lpstr>uSiemens</vt:lpstr>
      <vt:lpstr>V_ripplefactor</vt:lpstr>
      <vt:lpstr>Vac_off</vt:lpstr>
      <vt:lpstr>Vac_on</vt:lpstr>
      <vt:lpstr>Vacin_max</vt:lpstr>
      <vt:lpstr>Vacin_min</vt:lpstr>
      <vt:lpstr>Vacoff_desired</vt:lpstr>
      <vt:lpstr>VCC</vt:lpstr>
      <vt:lpstr>Vcomp</vt:lpstr>
      <vt:lpstr>VCOMP1</vt:lpstr>
      <vt:lpstr>VCOMP2</vt:lpstr>
      <vt:lpstr>VCOMP3</vt:lpstr>
      <vt:lpstr>VCOMP4</vt:lpstr>
      <vt:lpstr>Vf</vt:lpstr>
      <vt:lpstr>Vf_bridge</vt:lpstr>
      <vt:lpstr>Vgs</vt:lpstr>
      <vt:lpstr>Vin_max</vt:lpstr>
      <vt:lpstr>Vin_min</vt:lpstr>
      <vt:lpstr>Vin_nom</vt:lpstr>
      <vt:lpstr>Vin_rect_max</vt:lpstr>
      <vt:lpstr>Vin_rect_min</vt:lpstr>
      <vt:lpstr>Vin_ripple</vt:lpstr>
      <vt:lpstr>VINnom</vt:lpstr>
      <vt:lpstr>Vins_brnmax</vt:lpstr>
      <vt:lpstr>Vins_brnmin</vt:lpstr>
      <vt:lpstr>Vins_brnnom</vt:lpstr>
      <vt:lpstr>Vins_enmax</vt:lpstr>
      <vt:lpstr>Vins_enmin</vt:lpstr>
      <vt:lpstr>Vins_ennom</vt:lpstr>
      <vt:lpstr>Visense_soc</vt:lpstr>
      <vt:lpstr>Vout</vt:lpstr>
      <vt:lpstr>Vout_holdup</vt:lpstr>
      <vt:lpstr>Vout_max</vt:lpstr>
      <vt:lpstr>Vout_min</vt:lpstr>
      <vt:lpstr>Vout_nom</vt:lpstr>
      <vt:lpstr>Vout_ripplepp</vt:lpstr>
      <vt:lpstr>Vovp</vt:lpstr>
      <vt:lpstr>Vpcl_max</vt:lpstr>
      <vt:lpstr>Vref</vt:lpstr>
      <vt:lpstr>Vref_ovp</vt:lpstr>
      <vt:lpstr>Vref_ovpmax</vt:lpstr>
      <vt:lpstr>Vref_ovpmin</vt:lpstr>
      <vt:lpstr>Vref_uvd</vt:lpstr>
      <vt:lpstr>Vref_uvdmax</vt:lpstr>
      <vt:lpstr>Vref_uvdmin</vt:lpstr>
      <vt:lpstr>Vuvd</vt:lpstr>
    </vt:vector>
  </TitlesOfParts>
  <Company>Texas Instruments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 User</dc:creator>
  <cp:lastModifiedBy>陆明华</cp:lastModifiedBy>
  <cp:lastPrinted>2008-11-18T20:12:00Z</cp:lastPrinted>
  <dcterms:created xsi:type="dcterms:W3CDTF">2006-09-26T18:05:00Z</dcterms:created>
  <dcterms:modified xsi:type="dcterms:W3CDTF">2025-05-19T16:40:36Z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16FD94137E3D471D8289D7D53E96C78F_12</vt:lpwstr>
  </property>
  <property fmtid="{D5CDD505-2E9C-101B-9397-08002B2CF9AE}" pid="3" name="KSOProductBuildVer">
    <vt:lpwstr>2052-12.1.0.20784</vt:lpwstr>
  </property>
</Properties>
</file>