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385" windowHeight="8370" tabRatio="680" activeTab="2"/>
  </bookViews>
  <sheets>
    <sheet name="Notes" sheetId="1" r:id="rId1"/>
    <sheet name="Instructions" sheetId="2" r:id="rId2"/>
    <sheet name="Design_Parameters" sheetId="3" r:id="rId3"/>
    <sheet name="Registers" sheetId="4" r:id="rId4"/>
    <sheet name="Datasheet" sheetId="5" r:id="rId5"/>
    <sheet name="Lookup" sheetId="6" r:id="rId6"/>
  </sheets>
  <definedNames>
    <definedName name="ASR">Lookup!$E$39</definedName>
    <definedName name="CL">Lookup!$E$29</definedName>
    <definedName name="CLK_PERIOD">#REF!</definedName>
    <definedName name="CLKF">Registers!#REF!</definedName>
    <definedName name="CLOCK_FREQ">Design_Parameters!$C$6</definedName>
    <definedName name="CLOCK_PERIOD">Design_Parameters!$C$8</definedName>
    <definedName name="CWL">Lookup!$E$11</definedName>
    <definedName name="DDR_TERM">Lookup!$E$2</definedName>
    <definedName name="DDR3_BASE_ADDR">Registers!#REF!</definedName>
    <definedName name="desc_ASR">Lookup!$E$40:$E$41</definedName>
    <definedName name="desc_CL">Lookup!$E$30:$E$36</definedName>
    <definedName name="desc_CWL">Lookup!$E$12:$E$15</definedName>
    <definedName name="desc_Datasheet_Table">Datasheet!$C$3:$AG$32</definedName>
    <definedName name="desc_DDR_TERM">Lookup!$E$3:$E$8</definedName>
    <definedName name="desc_Device_Speed_Grade">Datasheet!$C$2:$AG$2</definedName>
    <definedName name="desc_DYN_ODT">Lookup!$H$3:$H$5</definedName>
    <definedName name="desc_EBANK">Lookup!$H$19:$H$20</definedName>
    <definedName name="desc_IBANK">Lookup!$E$19:$E$22</definedName>
    <definedName name="desc_IBANK_POS">Lookup!$B$3:$B$6</definedName>
    <definedName name="desc_INITREF_DIS">Lookup!$B$40:$B$41</definedName>
    <definedName name="desc_NM">Lookup!$H$12:$H$14</definedName>
    <definedName name="desc_PAGESIZE">Lookup!$B$30:$B$33</definedName>
    <definedName name="desc_PASR">Lookup!$H$40:$H$47</definedName>
    <definedName name="desc_ROWSIZE">Lookup!$B$19:$B$26</definedName>
    <definedName name="desc_SDRAM_DRIVE">Lookup!$B$12:$B$13</definedName>
    <definedName name="desc_SRT">Lookup!$B$44:$B$45</definedName>
    <definedName name="DYN_ODT">Lookup!$H$2</definedName>
    <definedName name="EBANK">Lookup!$H$18</definedName>
    <definedName name="FULL_CYCLE_RATIO">#REF!</definedName>
    <definedName name="IBANK">Lookup!$E$18</definedName>
    <definedName name="IBANK_POS">Lookup!$B$2</definedName>
    <definedName name="ibank_pos_0">Lookup!$C$3</definedName>
    <definedName name="ibank_pos_1">Lookup!$C$4</definedName>
    <definedName name="ibank_pos_2">Lookup!$C$5</definedName>
    <definedName name="ibank_pos_3">Lookup!$C$6</definedName>
    <definedName name="INCH_DEL">#REF!</definedName>
    <definedName name="INITREF_DIS">Lookup!$B$39</definedName>
    <definedName name="INVCLKOUT">Lookup!#REF!</definedName>
    <definedName name="INVERT_CLK">#REF!</definedName>
    <definedName name="NM">Lookup!$H$11</definedName>
    <definedName name="PAGESIZE">Lookup!$B$29</definedName>
    <definedName name="PASR">Lookup!$H$39</definedName>
    <definedName name="PERIOD">#REF!</definedName>
    <definedName name="ROWSIZE">Lookup!$B$18</definedName>
    <definedName name="SDRAM_DRIVE">Lookup!$B$11</definedName>
    <definedName name="set_DDR_TERM">Lookup!$F$3:$F$8</definedName>
    <definedName name="set_IBANK_POS">Lookup!$C$3:$C$6</definedName>
    <definedName name="SRT">Lookup!$B$43</definedName>
    <definedName name="T_CKE">Design_Parameters!$C$28</definedName>
    <definedName name="T_RFC">Design_Parameters!$C$33</definedName>
  </definedNames>
  <calcPr calcId="144525"/>
</workbook>
</file>

<file path=xl/sharedStrings.xml><?xml version="1.0" encoding="utf-8"?>
<sst xmlns="http://schemas.openxmlformats.org/spreadsheetml/2006/main" count="254">
  <si>
    <t>Name:</t>
  </si>
  <si>
    <t>DDR3 Register Calculations</t>
  </si>
  <si>
    <t>Purpose:</t>
  </si>
  <si>
    <t>Compute values for the primary DDR3 controller registers</t>
  </si>
  <si>
    <t>Revision History:</t>
  </si>
  <si>
    <t>Tom Johnson</t>
  </si>
  <si>
    <t>Version 1.0</t>
  </si>
  <si>
    <t>Initial release</t>
  </si>
  <si>
    <t>Version 2.0</t>
  </si>
  <si>
    <t>Formatting revised for release</t>
  </si>
  <si>
    <t>Version 3.0</t>
  </si>
  <si>
    <t>Add hex values and alternate SDRFC values</t>
  </si>
  <si>
    <t>Version 4.0</t>
  </si>
  <si>
    <t>Add lookup for Micron and Samsung datasheet parameters</t>
  </si>
  <si>
    <t>This spreadsheet can be used to compute the composite values for the primary DDR3 controller registers.  These registers are bit-mapped and computing them by hand is arduous.  The equations and look-up tables in this spreadsheet simplify the creation of these register values.</t>
  </si>
  <si>
    <t>Copyright (C) 2011, 2012 Texas Instruments Incorporated</t>
  </si>
  <si>
    <t>Instructions</t>
  </si>
  <si>
    <t>1.  Enter the DDR3 clock rate accurately in cell C6 of the Design Parameters worksheet</t>
  </si>
  <si>
    <t>2.  Select the proper SDRAM and associated speed grade in cell C9 to populate the timing parameters</t>
  </si>
  <si>
    <t>3.  If the SDRAM used is not contained in the pick list for cell C9, select User Defined and add its timing paramters to the last table column on the Datasheet page</t>
  </si>
  <si>
    <t>4.  Select the appropriate values for the SDCFG register from the drop-down lists</t>
  </si>
  <si>
    <t>5.  Copy the computed register values from the top of the Registers worksheet from cells D6 through D12</t>
  </si>
  <si>
    <t>Note that the Analysis ToolPak Add-In must be installed for the hexadecimal values to be correctly displayed.</t>
  </si>
  <si>
    <t>Disclaimer:  This register calculation tool is provided for reference only, without warranty expressed or implied. The recipient is encouraged to perform all due diligence with respect to design and analysis.  For committed performance and functionality, please refer to the device’s Data Manual.</t>
  </si>
  <si>
    <t xml:space="preserve">DDR3 Clock Timings </t>
  </si>
  <si>
    <t>Design Value</t>
  </si>
  <si>
    <t>Units</t>
  </si>
  <si>
    <t>DDR3 Output Clock Frequency</t>
  </si>
  <si>
    <t>MHz</t>
  </si>
  <si>
    <t xml:space="preserve">Double-Data Rate Clock </t>
  </si>
  <si>
    <t>DDR3 Output Clock Period</t>
  </si>
  <si>
    <t>ns</t>
  </si>
  <si>
    <t>Device and speed grade</t>
  </si>
  <si>
    <t>User Defined</t>
  </si>
  <si>
    <t xml:space="preserve">SDRAM Timings </t>
  </si>
  <si>
    <t>SDTIM1 
Configuration</t>
  </si>
  <si>
    <t>Selected 
Datasheet Values</t>
  </si>
  <si>
    <t>Corresponding Register Value (decimal)</t>
  </si>
  <si>
    <t>Corresponding Register Value (hex)</t>
  </si>
  <si>
    <t>T_RP</t>
  </si>
  <si>
    <t>T_RCD</t>
  </si>
  <si>
    <t>T_WR</t>
  </si>
  <si>
    <t>T_RAS</t>
  </si>
  <si>
    <t>T_RC</t>
  </si>
  <si>
    <t>T_RRD (use T_FAW since 8 banks)</t>
  </si>
  <si>
    <t>T_WTR</t>
  </si>
  <si>
    <t>SDTIM2 
Configuration</t>
  </si>
  <si>
    <t>T_XP</t>
  </si>
  <si>
    <t>T_XSNR (use T_XS)</t>
  </si>
  <si>
    <t>T_XSRD (use T_XSDLL)</t>
  </si>
  <si>
    <t>tCK</t>
  </si>
  <si>
    <t>T_RTP</t>
  </si>
  <si>
    <t>T_CKE</t>
  </si>
  <si>
    <t>SDTIM3 
Configuration</t>
  </si>
  <si>
    <t>T_CKESR</t>
  </si>
  <si>
    <t>T_ZQCS</t>
  </si>
  <si>
    <t>T_RFC</t>
  </si>
  <si>
    <t xml:space="preserve">SDRAM Configuration </t>
  </si>
  <si>
    <t>SDCFG Configuration</t>
  </si>
  <si>
    <t>Register 
Settings Selected</t>
  </si>
  <si>
    <t>IBANK_POS</t>
  </si>
  <si>
    <t>8 banks open for interleaving</t>
  </si>
  <si>
    <t>DDR_TERM</t>
  </si>
  <si>
    <t>RZQ/6</t>
  </si>
  <si>
    <t>DYN_ODT</t>
  </si>
  <si>
    <t>Turn Off Dynamic ODT</t>
  </si>
  <si>
    <t>SDRAM_DRIVE</t>
  </si>
  <si>
    <t>RZQ/7</t>
  </si>
  <si>
    <t>CWL</t>
  </si>
  <si>
    <t>CWL = 8</t>
  </si>
  <si>
    <t>NM</t>
  </si>
  <si>
    <t>32-bit bus width</t>
  </si>
  <si>
    <t>CL</t>
  </si>
  <si>
    <t>CAS = 11</t>
  </si>
  <si>
    <t>ROWSIZE</t>
  </si>
  <si>
    <t>15 row bits</t>
  </si>
  <si>
    <t>IBANK</t>
  </si>
  <si>
    <t>8 bank SDRAM</t>
  </si>
  <si>
    <t>EBANK</t>
  </si>
  <si>
    <t>Use DCE0# for all SDRAM accesses</t>
  </si>
  <si>
    <t>PAGESIZE</t>
  </si>
  <si>
    <t>2048-word page</t>
  </si>
  <si>
    <t xml:space="preserve">Refresh Configuration </t>
  </si>
  <si>
    <t>SDRFC Configuration</t>
  </si>
  <si>
    <t>Selected 
Datasheet Values /
 Settings</t>
  </si>
  <si>
    <t>INITREF_DIS</t>
  </si>
  <si>
    <t>Normal Operation</t>
  </si>
  <si>
    <t>SRT</t>
  </si>
  <si>
    <t>Normal Temp Range</t>
  </si>
  <si>
    <t>ASR</t>
  </si>
  <si>
    <t>Manual self-refresh</t>
  </si>
  <si>
    <t>PASR</t>
  </si>
  <si>
    <t>Full Array</t>
  </si>
  <si>
    <t>REFRESH_PERIOD - Normal</t>
  </si>
  <si>
    <t>us</t>
  </si>
  <si>
    <t>REFRESH_PERIOD - Ext. Temp</t>
  </si>
  <si>
    <t>REFRESH_PERIOD - Initialization</t>
  </si>
  <si>
    <t>EMIF Configuration Register Values</t>
  </si>
  <si>
    <t>SDRAM Register</t>
  </si>
  <si>
    <t>Address</t>
  </si>
  <si>
    <t>Value (hex)</t>
  </si>
  <si>
    <t xml:space="preserve">DDR_SDTIM1       </t>
  </si>
  <si>
    <t>0x21000018</t>
  </si>
  <si>
    <t xml:space="preserve">DDR_SDTIM2       </t>
  </si>
  <si>
    <t>0x21000020</t>
  </si>
  <si>
    <t xml:space="preserve">DDR_SDTIM3      </t>
  </si>
  <si>
    <t>0x21000028</t>
  </si>
  <si>
    <t xml:space="preserve">DDR_SDCFG        </t>
  </si>
  <si>
    <t>0x21000008</t>
  </si>
  <si>
    <t xml:space="preserve">DDR_SDRFC (normal)       </t>
  </si>
  <si>
    <t>0x21000010</t>
  </si>
  <si>
    <t xml:space="preserve">DDR_SDRFC
(ext temp)       </t>
  </si>
  <si>
    <t xml:space="preserve">DDR_SDRFC (initialization)       </t>
  </si>
  <si>
    <t>EMIF Configuration Register Bit Fields</t>
  </si>
  <si>
    <t>SDRAM Timing 1 Register</t>
  </si>
  <si>
    <t>31:29</t>
  </si>
  <si>
    <t>28:25</t>
  </si>
  <si>
    <t>24:21</t>
  </si>
  <si>
    <t>20:17</t>
  </si>
  <si>
    <t>16:12</t>
  </si>
  <si>
    <t>11:6</t>
  </si>
  <si>
    <t>5:3</t>
  </si>
  <si>
    <t>2:0</t>
  </si>
  <si>
    <t>RESERVED</t>
  </si>
  <si>
    <t>T_RRD</t>
  </si>
  <si>
    <t>(hex)</t>
  </si>
  <si>
    <t>SDRAM Timing 2 Register</t>
  </si>
  <si>
    <t>31</t>
  </si>
  <si>
    <t>30:28</t>
  </si>
  <si>
    <t>27:25</t>
  </si>
  <si>
    <t>24:16</t>
  </si>
  <si>
    <t>15:6</t>
  </si>
  <si>
    <t>T_XSNR</t>
  </si>
  <si>
    <t>T_XSRD</t>
  </si>
  <si>
    <t>SDRAM Timing 3 Register</t>
  </si>
  <si>
    <t>31:28</t>
  </si>
  <si>
    <t>27:24</t>
  </si>
  <si>
    <t>23:21</t>
  </si>
  <si>
    <t>20:15</t>
  </si>
  <si>
    <t>14:13</t>
  </si>
  <si>
    <t>12:4</t>
  </si>
  <si>
    <t>3:0</t>
  </si>
  <si>
    <t>T_PDLL_UL</t>
  </si>
  <si>
    <t>T_CSTA</t>
  </si>
  <si>
    <t>ZQ_ZQCS</t>
  </si>
  <si>
    <t>T_RAS_MAX</t>
  </si>
  <si>
    <t>SDRAM Config-uration Register</t>
  </si>
  <si>
    <t>28:27</t>
  </si>
  <si>
    <t>26:24</t>
  </si>
  <si>
    <t>23</t>
  </si>
  <si>
    <t>22:21</t>
  </si>
  <si>
    <t>20</t>
  </si>
  <si>
    <t>19:18</t>
  </si>
  <si>
    <t>17:16</t>
  </si>
  <si>
    <t>SDRAM_TYPE</t>
  </si>
  <si>
    <t>15:14</t>
  </si>
  <si>
    <t>13:10</t>
  </si>
  <si>
    <t>9:7</t>
  </si>
  <si>
    <t>6:4</t>
  </si>
  <si>
    <t>3</t>
  </si>
  <si>
    <t>SDRAM Refresh Control Register</t>
  </si>
  <si>
    <t>Normal Value (hex)</t>
  </si>
  <si>
    <t>Extended Temp Value (hex)</t>
  </si>
  <si>
    <t>Initialization
Value (hex)</t>
  </si>
  <si>
    <t xml:space="preserve">DDR_SDRFC        </t>
  </si>
  <si>
    <t>30</t>
  </si>
  <si>
    <t>29</t>
  </si>
  <si>
    <t>28</t>
  </si>
  <si>
    <t>27</t>
  </si>
  <si>
    <t>23:16</t>
  </si>
  <si>
    <t>15:0</t>
  </si>
  <si>
    <t>REFRESH_RATE</t>
  </si>
  <si>
    <t>Device and Speed Grade</t>
  </si>
  <si>
    <t>K4B1G0846F (800)</t>
  </si>
  <si>
    <t>K4B1G0846F (1066)</t>
  </si>
  <si>
    <t>K4B1G0846F (1333)</t>
  </si>
  <si>
    <t>K4B2G0846E (800)</t>
  </si>
  <si>
    <t>K4B2G0846E (1066)</t>
  </si>
  <si>
    <t>K4B2G0846E (1333)</t>
  </si>
  <si>
    <t>K4B4G0846B (800)</t>
  </si>
  <si>
    <t>K4B4G0846B (1066)</t>
  </si>
  <si>
    <t>K4B4G0846B (1333)</t>
  </si>
  <si>
    <t>K4B1G1646G (800)</t>
  </si>
  <si>
    <t>K4B1G1646G (1066)</t>
  </si>
  <si>
    <t>K4B1G1646G (1333)</t>
  </si>
  <si>
    <t>K4B2G1646C (800)</t>
  </si>
  <si>
    <t>K4B2G1646C (1066)</t>
  </si>
  <si>
    <t>K4B2G1646C (1333)</t>
  </si>
  <si>
    <t>K4B4G1646B (800)</t>
  </si>
  <si>
    <t>K4B4G1646B (1066)</t>
  </si>
  <si>
    <t>K4B4G1646B (1333)</t>
  </si>
  <si>
    <t>MT41J128M8 187E (1066)</t>
  </si>
  <si>
    <t>MT41J128M8 15E (1333)</t>
  </si>
  <si>
    <t>MT41J256M8 187E (1066)</t>
  </si>
  <si>
    <t>MT41J256M8 15E (1333)</t>
  </si>
  <si>
    <t>MT41J512M8 187E (1066)</t>
  </si>
  <si>
    <t>MT41J512M8 15E (1333)</t>
  </si>
  <si>
    <t>MT41J64M16 187E (1066)</t>
  </si>
  <si>
    <t>MT41J64M16 15E (1333)</t>
  </si>
  <si>
    <t>MT41J128M16 187E (1066)</t>
  </si>
  <si>
    <t>MT41J128M16 15E (1333)</t>
  </si>
  <si>
    <t>MT41J256M16 187E (1066)</t>
  </si>
  <si>
    <t>MT41J256M16 15E (1333)</t>
  </si>
  <si>
    <t>T_FAW</t>
  </si>
  <si>
    <t>max(4nCK, 7.5ns)</t>
  </si>
  <si>
    <t>max(3nCK, 7.5ns)</t>
  </si>
  <si>
    <t>max(3nCK, 6ns)</t>
  </si>
  <si>
    <t>T_XS</t>
  </si>
  <si>
    <t>max(5nCK, tRFC+10ns)</t>
  </si>
  <si>
    <t>T_XSDLL</t>
  </si>
  <si>
    <t>nCK</t>
  </si>
  <si>
    <t>max(3nCK, 5.625ns)</t>
  </si>
  <si>
    <t>tCKE(min)+1CK</t>
  </si>
  <si>
    <t>Note: Timing values taken from Samsung and Micron datasheets 8/1/12 are not guaranteed by TI.  User must validate timing against the manufacturer's datasheet to verify accuracy.</t>
  </si>
  <si>
    <t>Disable Termination</t>
  </si>
  <si>
    <t>4 banks open for interleaving</t>
  </si>
  <si>
    <t>RZQ/4</t>
  </si>
  <si>
    <t>2 banks open for interleaving</t>
  </si>
  <si>
    <t>RZQ/2</t>
  </si>
  <si>
    <t>No bank interleaving</t>
  </si>
  <si>
    <t>RZQ/12</t>
  </si>
  <si>
    <t>RZQ/8</t>
  </si>
  <si>
    <t>CWL = 5</t>
  </si>
  <si>
    <t>64-bit bus width</t>
  </si>
  <si>
    <t>CWL = 6</t>
  </si>
  <si>
    <t>CWL = 7</t>
  </si>
  <si>
    <t>16-bit bus width</t>
  </si>
  <si>
    <t xml:space="preserve">  9 row bits</t>
  </si>
  <si>
    <t>1 Bank SDRAM</t>
  </si>
  <si>
    <t>10 row bits</t>
  </si>
  <si>
    <t>2 Bank SDRAM</t>
  </si>
  <si>
    <t>Use DCE0# and DCE1# for SDRAM accesses</t>
  </si>
  <si>
    <t>11 row bits</t>
  </si>
  <si>
    <t>4 bank SDRAM</t>
  </si>
  <si>
    <t>12 row bits</t>
  </si>
  <si>
    <t>13 row bits</t>
  </si>
  <si>
    <t>14 row bits</t>
  </si>
  <si>
    <t>16 row bits</t>
  </si>
  <si>
    <t>256-word page</t>
  </si>
  <si>
    <t>CAS = 5</t>
  </si>
  <si>
    <t>512-word page</t>
  </si>
  <si>
    <t>CAS = 6</t>
  </si>
  <si>
    <t>1024-word page</t>
  </si>
  <si>
    <t>CAS = 7</t>
  </si>
  <si>
    <t>CAS = 8</t>
  </si>
  <si>
    <t>CAS = 9</t>
  </si>
  <si>
    <t>CAS = 10</t>
  </si>
  <si>
    <t>Disable SDRAM Initialization and Refresh</t>
  </si>
  <si>
    <t>Auto self-refresh</t>
  </si>
  <si>
    <t>1/2 Array</t>
  </si>
  <si>
    <t>1/4 Array</t>
  </si>
  <si>
    <t>1/8 Array</t>
  </si>
  <si>
    <t>3/4 Array</t>
  </si>
  <si>
    <t>Extended Temp Range</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</si>
</sst>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0"/>
  </numFmts>
  <fonts count="33">
    <font>
      <sz val="11"/>
      <color theme="1"/>
      <name val="宋体"/>
      <charset val="134"/>
      <scheme val="minor"/>
    </font>
    <font>
      <b/>
      <sz val="12"/>
      <color indexed="8"/>
      <name val="Calibri"/>
      <charset val="134"/>
    </font>
    <font>
      <sz val="12"/>
      <color indexed="8"/>
      <name val="Calibri"/>
      <charset val="134"/>
    </font>
    <font>
      <b/>
      <sz val="12"/>
      <name val="Arial"/>
      <charset val="134"/>
    </font>
    <font>
      <b/>
      <sz val="12"/>
      <color indexed="8"/>
      <name val="Arial"/>
      <charset val="134"/>
    </font>
    <font>
      <sz val="12"/>
      <color theme="1"/>
      <name val="宋体"/>
      <charset val="134"/>
      <scheme val="minor"/>
    </font>
    <font>
      <b/>
      <sz val="12"/>
      <color theme="1"/>
      <name val="宋体"/>
      <charset val="134"/>
      <scheme val="minor"/>
    </font>
    <font>
      <b/>
      <sz val="12"/>
      <name val="Calibri"/>
      <charset val="134"/>
    </font>
    <font>
      <b/>
      <sz val="11"/>
      <color theme="1"/>
      <name val="宋体"/>
      <charset val="134"/>
      <scheme val="minor"/>
    </font>
    <font>
      <sz val="12"/>
      <color indexed="8"/>
      <name val="宋体"/>
      <charset val="134"/>
      <scheme val="minor"/>
    </font>
    <font>
      <sz val="12"/>
      <color indexed="56"/>
      <name val="Calibri"/>
      <charset val="134"/>
    </font>
    <font>
      <b/>
      <sz val="20"/>
      <color indexed="8"/>
      <name val="Calibri"/>
      <charset val="134"/>
    </font>
    <font>
      <sz val="12"/>
      <name val="Calibri"/>
      <charset val="134"/>
    </font>
    <font>
      <b/>
      <sz val="12"/>
      <color indexed="8"/>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40">
    <fill>
      <patternFill patternType="none"/>
    </fill>
    <fill>
      <patternFill patternType="gray125"/>
    </fill>
    <fill>
      <patternFill patternType="solid">
        <fgColor theme="0" tint="-0.149998474074526"/>
        <bgColor indexed="64"/>
      </patternFill>
    </fill>
    <fill>
      <patternFill patternType="solid">
        <fgColor rgb="FFFFFF00"/>
        <bgColor indexed="64"/>
      </patternFill>
    </fill>
    <fill>
      <patternFill patternType="solid">
        <fgColor indexed="42"/>
        <bgColor indexed="64"/>
      </patternFill>
    </fill>
    <fill>
      <patternFill patternType="solid">
        <fgColor indexed="22"/>
        <bgColor indexed="64"/>
      </patternFill>
    </fill>
    <fill>
      <patternFill patternType="solid">
        <fgColor theme="3" tint="0.599993896298105"/>
        <bgColor indexed="64"/>
      </patternFill>
    </fill>
    <fill>
      <patternFill patternType="solid">
        <fgColor indexed="13"/>
        <bgColor indexed="64"/>
      </patternFill>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0" fillId="0" borderId="0" applyFont="0" applyFill="0" applyBorder="0" applyAlignment="0" applyProtection="0">
      <alignment vertical="center"/>
    </xf>
    <xf numFmtId="0" fontId="14" fillId="25" borderId="0" applyNumberFormat="0" applyBorder="0" applyAlignment="0" applyProtection="0">
      <alignment vertical="center"/>
    </xf>
    <xf numFmtId="0" fontId="24" fillId="21" borderId="2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6" borderId="0" applyNumberFormat="0" applyBorder="0" applyAlignment="0" applyProtection="0">
      <alignment vertical="center"/>
    </xf>
    <xf numFmtId="0" fontId="18" fillId="12" borderId="0" applyNumberFormat="0" applyBorder="0" applyAlignment="0" applyProtection="0">
      <alignment vertical="center"/>
    </xf>
    <xf numFmtId="43" fontId="0" fillId="0" borderId="0" applyFont="0" applyFill="0" applyBorder="0" applyAlignment="0" applyProtection="0">
      <alignment vertical="center"/>
    </xf>
    <xf numFmtId="0" fontId="22" fillId="2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5" borderId="29" applyNumberFormat="0" applyFont="0" applyAlignment="0" applyProtection="0">
      <alignment vertical="center"/>
    </xf>
    <xf numFmtId="0" fontId="22" fillId="20"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1" fillId="0" borderId="23" applyNumberFormat="0" applyFill="0" applyAlignment="0" applyProtection="0">
      <alignment vertical="center"/>
    </xf>
    <xf numFmtId="0" fontId="20" fillId="0" borderId="23" applyNumberFormat="0" applyFill="0" applyAlignment="0" applyProtection="0">
      <alignment vertical="center"/>
    </xf>
    <xf numFmtId="0" fontId="22" fillId="27" borderId="0" applyNumberFormat="0" applyBorder="0" applyAlignment="0" applyProtection="0">
      <alignment vertical="center"/>
    </xf>
    <xf numFmtId="0" fontId="16" fillId="0" borderId="27" applyNumberFormat="0" applyFill="0" applyAlignment="0" applyProtection="0">
      <alignment vertical="center"/>
    </xf>
    <xf numFmtId="0" fontId="22" fillId="19" borderId="0" applyNumberFormat="0" applyBorder="0" applyAlignment="0" applyProtection="0">
      <alignment vertical="center"/>
    </xf>
    <xf numFmtId="0" fontId="30" fillId="24" borderId="28" applyNumberFormat="0" applyAlignment="0" applyProtection="0">
      <alignment vertical="center"/>
    </xf>
    <xf numFmtId="0" fontId="25" fillId="24" borderId="24" applyNumberFormat="0" applyAlignment="0" applyProtection="0">
      <alignment vertical="center"/>
    </xf>
    <xf numFmtId="0" fontId="19" fillId="15" borderId="22" applyNumberFormat="0" applyAlignment="0" applyProtection="0">
      <alignment vertical="center"/>
    </xf>
    <xf numFmtId="0" fontId="14" fillId="39" borderId="0" applyNumberFormat="0" applyBorder="0" applyAlignment="0" applyProtection="0">
      <alignment vertical="center"/>
    </xf>
    <xf numFmtId="0" fontId="22" fillId="31" borderId="0" applyNumberFormat="0" applyBorder="0" applyAlignment="0" applyProtection="0">
      <alignment vertical="center"/>
    </xf>
    <xf numFmtId="0" fontId="26" fillId="0" borderId="25" applyNumberFormat="0" applyFill="0" applyAlignment="0" applyProtection="0">
      <alignment vertical="center"/>
    </xf>
    <xf numFmtId="0" fontId="27" fillId="0" borderId="26" applyNumberFormat="0" applyFill="0" applyAlignment="0" applyProtection="0">
      <alignment vertical="center"/>
    </xf>
    <xf numFmtId="0" fontId="32" fillId="38" borderId="0" applyNumberFormat="0" applyBorder="0" applyAlignment="0" applyProtection="0">
      <alignment vertical="center"/>
    </xf>
    <xf numFmtId="0" fontId="23" fillId="18" borderId="0" applyNumberFormat="0" applyBorder="0" applyAlignment="0" applyProtection="0">
      <alignment vertical="center"/>
    </xf>
    <xf numFmtId="0" fontId="14" fillId="23" borderId="0" applyNumberFormat="0" applyBorder="0" applyAlignment="0" applyProtection="0">
      <alignment vertical="center"/>
    </xf>
    <xf numFmtId="0" fontId="22" fillId="34" borderId="0" applyNumberFormat="0" applyBorder="0" applyAlignment="0" applyProtection="0">
      <alignment vertical="center"/>
    </xf>
    <xf numFmtId="0" fontId="14" fillId="22" borderId="0" applyNumberFormat="0" applyBorder="0" applyAlignment="0" applyProtection="0">
      <alignment vertical="center"/>
    </xf>
    <xf numFmtId="0" fontId="14" fillId="14" borderId="0" applyNumberFormat="0" applyBorder="0" applyAlignment="0" applyProtection="0">
      <alignment vertical="center"/>
    </xf>
    <xf numFmtId="0" fontId="14" fillId="37" borderId="0" applyNumberFormat="0" applyBorder="0" applyAlignment="0" applyProtection="0">
      <alignment vertical="center"/>
    </xf>
    <xf numFmtId="0" fontId="14" fillId="11" borderId="0" applyNumberFormat="0" applyBorder="0" applyAlignment="0" applyProtection="0">
      <alignment vertical="center"/>
    </xf>
    <xf numFmtId="0" fontId="22" fillId="33" borderId="0" applyNumberFormat="0" applyBorder="0" applyAlignment="0" applyProtection="0">
      <alignment vertical="center"/>
    </xf>
    <xf numFmtId="0" fontId="22" fillId="30" borderId="0" applyNumberFormat="0" applyBorder="0" applyAlignment="0" applyProtection="0">
      <alignment vertical="center"/>
    </xf>
    <xf numFmtId="0" fontId="14" fillId="36" borderId="0" applyNumberFormat="0" applyBorder="0" applyAlignment="0" applyProtection="0">
      <alignment vertical="center"/>
    </xf>
    <xf numFmtId="0" fontId="14" fillId="10" borderId="0" applyNumberFormat="0" applyBorder="0" applyAlignment="0" applyProtection="0">
      <alignment vertical="center"/>
    </xf>
    <xf numFmtId="0" fontId="22" fillId="32" borderId="0" applyNumberFormat="0" applyBorder="0" applyAlignment="0" applyProtection="0">
      <alignment vertical="center"/>
    </xf>
    <xf numFmtId="0" fontId="14" fillId="13" borderId="0" applyNumberFormat="0" applyBorder="0" applyAlignment="0" applyProtection="0">
      <alignment vertical="center"/>
    </xf>
    <xf numFmtId="0" fontId="22" fillId="26" borderId="0" applyNumberFormat="0" applyBorder="0" applyAlignment="0" applyProtection="0">
      <alignment vertical="center"/>
    </xf>
    <xf numFmtId="0" fontId="22" fillId="29" borderId="0" applyNumberFormat="0" applyBorder="0" applyAlignment="0" applyProtection="0">
      <alignment vertical="center"/>
    </xf>
    <xf numFmtId="0" fontId="14" fillId="9" borderId="0" applyNumberFormat="0" applyBorder="0" applyAlignment="0" applyProtection="0">
      <alignment vertical="center"/>
    </xf>
    <xf numFmtId="0" fontId="22" fillId="17" borderId="0" applyNumberFormat="0" applyBorder="0" applyAlignment="0" applyProtection="0">
      <alignment vertical="center"/>
    </xf>
  </cellStyleXfs>
  <cellXfs count="148">
    <xf numFmtId="0" fontId="0" fillId="0" borderId="0" xfId="0"/>
    <xf numFmtId="0" fontId="1" fillId="0" borderId="0" xfId="0" applyFont="1" applyProtection="1"/>
    <xf numFmtId="0" fontId="2" fillId="0" borderId="0" xfId="0" applyFont="1" applyProtection="1"/>
    <xf numFmtId="0" fontId="2"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xf numFmtId="0" fontId="1" fillId="0" borderId="0" xfId="0" applyFont="1" applyAlignment="1" applyProtection="1">
      <alignment horizontal="left"/>
    </xf>
    <xf numFmtId="0" fontId="2" fillId="0" borderId="0" xfId="0" applyFont="1" applyAlignment="1" applyProtection="1">
      <alignment horizontal="center"/>
    </xf>
    <xf numFmtId="0" fontId="1" fillId="0" borderId="0" xfId="0" applyFont="1" applyAlignment="1" applyProtection="1">
      <alignment horizontal="center"/>
    </xf>
    <xf numFmtId="0" fontId="3" fillId="0" borderId="0" xfId="0" applyFont="1" applyAlignment="1" applyProtection="1">
      <alignment horizontal="left"/>
    </xf>
    <xf numFmtId="0" fontId="4" fillId="0" borderId="0" xfId="0" applyFont="1" applyAlignment="1" applyProtection="1">
      <alignment horizontal="left"/>
    </xf>
    <xf numFmtId="0" fontId="5" fillId="0" borderId="0" xfId="0" applyFont="1" applyFill="1" applyAlignment="1" applyProtection="1">
      <alignment wrapText="1"/>
    </xf>
    <xf numFmtId="0" fontId="0" fillId="0" borderId="0" xfId="0" applyFill="1" applyAlignment="1" applyProtection="1">
      <alignment wrapText="1"/>
    </xf>
    <xf numFmtId="0" fontId="0" fillId="0" borderId="0" xfId="0" applyFill="1" applyProtection="1"/>
    <xf numFmtId="0" fontId="0" fillId="0" borderId="0" xfId="0" applyFill="1" applyAlignment="1" applyProtection="1">
      <alignment horizontal="center"/>
    </xf>
    <xf numFmtId="0" fontId="6" fillId="0" borderId="1" xfId="0" applyFont="1" applyFill="1" applyBorder="1" applyAlignment="1" applyProtection="1">
      <alignment horizontal="center" wrapText="1"/>
    </xf>
    <xf numFmtId="0" fontId="6" fillId="2" borderId="2" xfId="0" applyFont="1" applyFill="1" applyBorder="1" applyAlignment="1" applyProtection="1">
      <alignment horizontal="center" wrapText="1"/>
    </xf>
    <xf numFmtId="0" fontId="1" fillId="0" borderId="3" xfId="0" applyFont="1" applyFill="1" applyBorder="1" applyAlignment="1" applyProtection="1">
      <alignment horizontal="center" vertical="center" wrapText="1"/>
    </xf>
    <xf numFmtId="0" fontId="0" fillId="2" borderId="4" xfId="0" applyFill="1" applyBorder="1" applyAlignment="1" applyProtection="1">
      <alignment horizontal="center" wrapText="1"/>
    </xf>
    <xf numFmtId="0" fontId="1" fillId="0" borderId="5" xfId="0" applyFont="1" applyFill="1" applyBorder="1" applyAlignment="1" applyProtection="1">
      <alignment horizontal="center" vertical="center" wrapText="1"/>
    </xf>
    <xf numFmtId="0" fontId="0" fillId="2" borderId="6" xfId="0" applyFill="1" applyBorder="1" applyAlignment="1" applyProtection="1">
      <alignment horizont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0" fillId="2" borderId="8" xfId="0" applyFill="1" applyBorder="1" applyAlignment="1" applyProtection="1">
      <alignment horizontal="center" wrapText="1"/>
    </xf>
    <xf numFmtId="0" fontId="8" fillId="0" borderId="9" xfId="0" applyFont="1" applyFill="1" applyBorder="1" applyAlignment="1" applyProtection="1">
      <alignment wrapText="1"/>
    </xf>
    <xf numFmtId="0" fontId="0" fillId="2" borderId="10" xfId="0" applyFill="1" applyBorder="1" applyAlignment="1" applyProtection="1">
      <alignment horizontal="center" wrapText="1"/>
    </xf>
    <xf numFmtId="0" fontId="4" fillId="0" borderId="0" xfId="0" applyFont="1" applyFill="1" applyAlignment="1" applyProtection="1">
      <alignment horizontal="left"/>
    </xf>
    <xf numFmtId="0" fontId="8" fillId="0" borderId="0" xfId="0" applyFont="1" applyFill="1" applyProtection="1"/>
    <xf numFmtId="0" fontId="6" fillId="0" borderId="2" xfId="0" applyFont="1" applyFill="1" applyBorder="1" applyAlignment="1" applyProtection="1">
      <alignment horizontal="center" wrapText="1"/>
    </xf>
    <xf numFmtId="0" fontId="0" fillId="0" borderId="4" xfId="0" applyFill="1" applyBorder="1" applyAlignment="1" applyProtection="1">
      <alignment horizontal="center" wrapText="1"/>
    </xf>
    <xf numFmtId="0" fontId="0" fillId="0" borderId="6" xfId="0" applyFill="1" applyBorder="1" applyAlignment="1" applyProtection="1">
      <alignment horizontal="center" wrapText="1"/>
    </xf>
    <xf numFmtId="0" fontId="0" fillId="0" borderId="8" xfId="0" applyFill="1" applyBorder="1" applyAlignment="1" applyProtection="1">
      <alignment horizontal="center" wrapText="1"/>
    </xf>
    <xf numFmtId="0" fontId="0" fillId="0" borderId="10" xfId="0" applyFill="1" applyBorder="1" applyAlignment="1" applyProtection="1">
      <alignment horizontal="center" wrapText="1"/>
    </xf>
    <xf numFmtId="0" fontId="6" fillId="3" borderId="2" xfId="0" applyFont="1" applyFill="1" applyBorder="1" applyAlignment="1" applyProtection="1">
      <alignment horizontal="center" wrapText="1"/>
    </xf>
    <xf numFmtId="0" fontId="5" fillId="0" borderId="11" xfId="0" applyFont="1" applyFill="1" applyBorder="1" applyAlignment="1" applyProtection="1">
      <alignment wrapText="1"/>
    </xf>
    <xf numFmtId="0" fontId="5" fillId="0" borderId="0" xfId="0" applyFont="1" applyFill="1" applyBorder="1" applyAlignment="1" applyProtection="1">
      <alignment wrapText="1"/>
    </xf>
    <xf numFmtId="0" fontId="0" fillId="3" borderId="4" xfId="0" applyFill="1" applyBorder="1" applyAlignment="1" applyProtection="1">
      <alignment horizontal="center" wrapText="1"/>
      <protection locked="0"/>
    </xf>
    <xf numFmtId="0" fontId="0" fillId="0" borderId="12" xfId="0" applyFill="1" applyBorder="1" applyAlignment="1" applyProtection="1">
      <alignment wrapText="1"/>
    </xf>
    <xf numFmtId="0" fontId="0" fillId="0" borderId="0" xfId="0" applyFill="1" applyBorder="1" applyAlignment="1" applyProtection="1">
      <alignment wrapText="1"/>
    </xf>
    <xf numFmtId="0" fontId="0" fillId="3" borderId="6" xfId="0" applyFill="1" applyBorder="1" applyAlignment="1" applyProtection="1">
      <alignment horizontal="center" wrapText="1"/>
    </xf>
    <xf numFmtId="0" fontId="0" fillId="0" borderId="13" xfId="0" applyFill="1" applyBorder="1" applyAlignment="1" applyProtection="1">
      <alignment wrapText="1"/>
    </xf>
    <xf numFmtId="0" fontId="0" fillId="3" borderId="8" xfId="0" applyFill="1" applyBorder="1" applyAlignment="1" applyProtection="1">
      <alignment horizontal="center" wrapText="1"/>
      <protection locked="0"/>
    </xf>
    <xf numFmtId="0" fontId="0" fillId="0" borderId="14" xfId="0" applyFill="1" applyBorder="1" applyAlignment="1" applyProtection="1">
      <alignment wrapText="1"/>
    </xf>
    <xf numFmtId="0" fontId="0" fillId="3" borderId="10" xfId="0" applyFill="1" applyBorder="1" applyAlignment="1" applyProtection="1">
      <alignment horizontal="center" wrapText="1"/>
    </xf>
    <xf numFmtId="0" fontId="0" fillId="0" borderId="15" xfId="0" applyFill="1" applyBorder="1" applyAlignment="1" applyProtection="1">
      <alignment wrapText="1"/>
    </xf>
    <xf numFmtId="0" fontId="0" fillId="0" borderId="0" xfId="0" applyFill="1" applyBorder="1" applyProtection="1"/>
    <xf numFmtId="0" fontId="2" fillId="0" borderId="0" xfId="0" applyFont="1" applyFill="1" applyAlignment="1" applyProtection="1">
      <alignment wrapText="1"/>
      <protection hidden="1"/>
    </xf>
    <xf numFmtId="0" fontId="1" fillId="0" borderId="0" xfId="0" applyFont="1" applyAlignment="1" applyProtection="1">
      <alignment horizontal="center" wrapText="1"/>
      <protection hidden="1"/>
    </xf>
    <xf numFmtId="0" fontId="9" fillId="0" borderId="0" xfId="0" applyFont="1" applyAlignment="1" applyProtection="1">
      <alignment wrapText="1"/>
      <protection hidden="1"/>
    </xf>
    <xf numFmtId="0" fontId="9" fillId="0" borderId="0" xfId="0" applyFont="1" applyFill="1" applyAlignment="1" applyProtection="1">
      <alignment wrapText="1"/>
      <protection hidden="1"/>
    </xf>
    <xf numFmtId="0" fontId="2" fillId="0" borderId="0" xfId="0" applyFont="1" applyAlignment="1" applyProtection="1">
      <alignment wrapText="1"/>
      <protection hidden="1"/>
    </xf>
    <xf numFmtId="0" fontId="2" fillId="0" borderId="0" xfId="0" applyFont="1" applyAlignment="1" applyProtection="1">
      <alignment horizontal="center" vertical="center" wrapText="1"/>
      <protection hidden="1"/>
    </xf>
    <xf numFmtId="0" fontId="1" fillId="0" borderId="0" xfId="0" applyFont="1" applyFill="1" applyAlignment="1" applyProtection="1">
      <alignment wrapText="1"/>
      <protection hidden="1"/>
    </xf>
    <xf numFmtId="0" fontId="2" fillId="0" borderId="0" xfId="0" applyFont="1" applyFill="1" applyAlignment="1" applyProtection="1">
      <alignment horizontal="center" vertical="center" wrapText="1"/>
      <protection hidden="1"/>
    </xf>
    <xf numFmtId="1" fontId="2" fillId="0" borderId="0" xfId="0" applyNumberFormat="1"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1" fillId="0" borderId="0" xfId="0" applyFont="1" applyFill="1" applyAlignment="1" applyProtection="1">
      <protection hidden="1"/>
    </xf>
    <xf numFmtId="49" fontId="1" fillId="0" borderId="1" xfId="0" applyNumberFormat="1" applyFont="1" applyBorder="1" applyAlignment="1" applyProtection="1">
      <alignment horizontal="left" vertical="center" wrapText="1"/>
      <protection hidden="1"/>
    </xf>
    <xf numFmtId="0" fontId="1" fillId="0" borderId="2"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2" fillId="0" borderId="16" xfId="0" applyFont="1" applyFill="1" applyBorder="1" applyAlignment="1" applyProtection="1">
      <alignment horizontal="center" vertical="center" wrapText="1"/>
      <protection hidden="1"/>
    </xf>
    <xf numFmtId="0" fontId="2" fillId="0" borderId="17" xfId="0" applyFont="1" applyFill="1" applyBorder="1" applyAlignment="1" applyProtection="1">
      <alignment horizontal="center" vertical="center" wrapText="1"/>
      <protection hidden="1"/>
    </xf>
    <xf numFmtId="0" fontId="1" fillId="4" borderId="18"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protection hidden="1"/>
    </xf>
    <xf numFmtId="0" fontId="2" fillId="0" borderId="20" xfId="0" applyFont="1" applyFill="1" applyBorder="1" applyAlignment="1" applyProtection="1">
      <alignment horizontal="center" vertical="center" wrapText="1"/>
      <protection hidden="1"/>
    </xf>
    <xf numFmtId="0" fontId="1" fillId="4" borderId="21" xfId="0" applyFont="1" applyFill="1" applyBorder="1" applyAlignment="1" applyProtection="1">
      <alignment horizontal="center" vertical="center" wrapText="1"/>
    </xf>
    <xf numFmtId="0" fontId="1" fillId="0" borderId="0" xfId="0" applyFont="1" applyAlignment="1" applyProtection="1">
      <alignment horizontal="center" vertical="center" wrapText="1"/>
      <protection hidden="1"/>
    </xf>
    <xf numFmtId="49" fontId="1" fillId="0" borderId="0" xfId="0" applyNumberFormat="1" applyFont="1" applyAlignment="1" applyProtection="1">
      <alignment horizontal="center" vertical="center" wrapText="1"/>
      <protection hidden="1"/>
    </xf>
    <xf numFmtId="0" fontId="1" fillId="0" borderId="0" xfId="0" applyFont="1" applyBorder="1" applyAlignment="1" applyProtection="1">
      <alignment horizontal="center" vertical="center" wrapText="1"/>
      <protection hidden="1"/>
    </xf>
    <xf numFmtId="49" fontId="2" fillId="0" borderId="0" xfId="0" applyNumberFormat="1" applyFont="1" applyAlignment="1" applyProtection="1">
      <alignment horizontal="left" vertical="center" wrapText="1"/>
      <protection hidden="1"/>
    </xf>
    <xf numFmtId="0" fontId="2" fillId="0" borderId="0" xfId="0" applyFont="1" applyBorder="1" applyAlignment="1" applyProtection="1">
      <alignment horizontal="center" vertical="center" wrapText="1"/>
      <protection hidden="1"/>
    </xf>
    <xf numFmtId="49" fontId="2" fillId="0" borderId="0" xfId="0" applyNumberFormat="1" applyFont="1" applyAlignment="1" applyProtection="1">
      <alignment horizontal="center" vertical="center" wrapText="1"/>
      <protection hidden="1"/>
    </xf>
    <xf numFmtId="0" fontId="1" fillId="0" borderId="0" xfId="0" applyFont="1" applyFill="1" applyAlignment="1" applyProtection="1">
      <alignment horizontal="center" vertical="center" wrapText="1"/>
      <protection hidden="1"/>
    </xf>
    <xf numFmtId="0" fontId="1" fillId="0" borderId="0" xfId="0" applyFont="1" applyFill="1" applyBorder="1" applyAlignment="1" applyProtection="1">
      <alignment horizontal="center" vertical="center" wrapText="1"/>
      <protection hidden="1"/>
    </xf>
    <xf numFmtId="0" fontId="2" fillId="5" borderId="0" xfId="0" applyFont="1" applyFill="1" applyAlignment="1" applyProtection="1">
      <alignment horizontal="center" vertical="center" wrapText="1"/>
      <protection hidden="1"/>
    </xf>
    <xf numFmtId="0" fontId="2" fillId="6" borderId="0" xfId="0" applyFont="1" applyFill="1" applyAlignment="1" applyProtection="1">
      <alignment horizontal="center" vertical="center" wrapText="1"/>
      <protection hidden="1"/>
    </xf>
    <xf numFmtId="0" fontId="9" fillId="0" borderId="0" xfId="0" applyFont="1" applyFill="1" applyBorder="1" applyAlignment="1" applyProtection="1">
      <alignment horizontal="center" vertical="center"/>
      <protection hidden="1"/>
    </xf>
    <xf numFmtId="0" fontId="12" fillId="6" borderId="0" xfId="0" applyFont="1" applyFill="1" applyAlignment="1" applyProtection="1">
      <alignment horizontal="center" vertical="center" wrapText="1"/>
      <protection hidden="1"/>
    </xf>
    <xf numFmtId="0" fontId="12" fillId="5" borderId="0" xfId="0" applyFont="1" applyFill="1" applyAlignment="1" applyProtection="1">
      <alignment horizontal="center" vertical="center" wrapText="1"/>
      <protection hidden="1"/>
    </xf>
    <xf numFmtId="0" fontId="2" fillId="0" borderId="0" xfId="0" applyFont="1" applyBorder="1" applyAlignment="1" applyProtection="1">
      <alignment horizontal="left" vertical="center" wrapText="1"/>
      <protection hidden="1"/>
    </xf>
    <xf numFmtId="49" fontId="2" fillId="0" borderId="0" xfId="0" applyNumberFormat="1" applyFont="1" applyBorder="1" applyAlignment="1" applyProtection="1">
      <alignment horizontal="center" vertical="center" wrapText="1"/>
      <protection hidden="1"/>
    </xf>
    <xf numFmtId="0" fontId="2" fillId="5" borderId="0" xfId="0" applyFont="1" applyFill="1" applyBorder="1" applyAlignment="1" applyProtection="1">
      <alignment horizontal="center" vertical="center" wrapText="1"/>
      <protection hidden="1"/>
    </xf>
    <xf numFmtId="0" fontId="2" fillId="6" borderId="0" xfId="0" applyFont="1" applyFill="1" applyBorder="1" applyAlignment="1" applyProtection="1">
      <alignment horizontal="center" vertical="center" wrapText="1"/>
      <protection hidden="1"/>
    </xf>
    <xf numFmtId="0" fontId="2" fillId="0" borderId="0" xfId="0" applyFont="1" applyFill="1" applyAlignment="1" applyProtection="1">
      <alignment horizontal="left" vertical="center" wrapText="1"/>
      <protection hidden="1"/>
    </xf>
    <xf numFmtId="0" fontId="9" fillId="0" borderId="0" xfId="0" applyFont="1" applyAlignment="1" applyProtection="1">
      <alignment horizontal="center" vertical="center" wrapText="1"/>
      <protection hidden="1"/>
    </xf>
    <xf numFmtId="0" fontId="13" fillId="0" borderId="0" xfId="0" applyFont="1" applyBorder="1" applyAlignment="1" applyProtection="1">
      <alignment horizontal="center" vertical="center" wrapText="1"/>
      <protection hidden="1"/>
    </xf>
    <xf numFmtId="0" fontId="13" fillId="0" borderId="0"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13" fillId="0" borderId="0" xfId="0" applyFont="1" applyBorder="1" applyAlignment="1" applyProtection="1">
      <alignment horizontal="left" vertical="center" wrapText="1"/>
      <protection hidden="1"/>
    </xf>
    <xf numFmtId="0" fontId="13" fillId="0" borderId="0" xfId="0" applyFont="1" applyFill="1" applyBorder="1" applyAlignment="1" applyProtection="1">
      <alignment horizontal="center" vertical="center"/>
      <protection hidden="1"/>
    </xf>
    <xf numFmtId="49" fontId="9" fillId="0" borderId="0" xfId="0" applyNumberFormat="1" applyFont="1" applyBorder="1" applyAlignment="1" applyProtection="1">
      <alignment horizontal="center" vertical="center"/>
      <protection hidden="1"/>
    </xf>
    <xf numFmtId="0" fontId="9" fillId="6" borderId="0" xfId="0" applyFont="1" applyFill="1" applyBorder="1" applyAlignment="1" applyProtection="1">
      <alignment horizontal="center" vertical="center"/>
      <protection hidden="1"/>
    </xf>
    <xf numFmtId="0" fontId="9" fillId="5" borderId="0" xfId="0" applyFont="1" applyFill="1" applyBorder="1" applyAlignment="1" applyProtection="1">
      <alignment horizontal="center" vertical="center"/>
      <protection hidden="1"/>
    </xf>
    <xf numFmtId="0" fontId="4" fillId="0" borderId="0" xfId="0" applyFont="1" applyAlignment="1" applyProtection="1">
      <alignment horizontal="left"/>
      <protection hidden="1"/>
    </xf>
    <xf numFmtId="0" fontId="2" fillId="0" borderId="0" xfId="0" applyFont="1" applyAlignment="1" applyProtection="1">
      <alignment vertical="center"/>
      <protection hidden="1"/>
    </xf>
    <xf numFmtId="0" fontId="2" fillId="0" borderId="0" xfId="0" applyFont="1" applyAlignment="1" applyProtection="1">
      <alignment horizontal="right" vertical="center"/>
      <protection hidden="1"/>
    </xf>
    <xf numFmtId="0" fontId="2" fillId="0" borderId="0" xfId="0" applyFont="1" applyFill="1" applyAlignment="1" applyProtection="1">
      <alignment vertical="center"/>
      <protection hidden="1"/>
    </xf>
    <xf numFmtId="0" fontId="11" fillId="0" borderId="0" xfId="0" applyFont="1" applyFill="1" applyAlignment="1" applyProtection="1">
      <alignment vertical="center"/>
      <protection hidden="1"/>
    </xf>
    <xf numFmtId="0" fontId="2" fillId="0" borderId="0" xfId="0" applyFont="1"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17" xfId="0" applyFont="1" applyBorder="1" applyAlignment="1" applyProtection="1">
      <alignment horizontal="right" vertical="center"/>
      <protection hidden="1"/>
    </xf>
    <xf numFmtId="0" fontId="1" fillId="0" borderId="17" xfId="0" applyFont="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176" fontId="2" fillId="7" borderId="17" xfId="0" applyNumberFormat="1" applyFont="1" applyFill="1" applyBorder="1" applyAlignment="1" applyProtection="1">
      <alignment horizontal="center" vertical="center"/>
      <protection locked="0"/>
    </xf>
    <xf numFmtId="176" fontId="2" fillId="0" borderId="17" xfId="0" applyNumberFormat="1" applyFont="1" applyFill="1" applyBorder="1" applyAlignment="1" applyProtection="1">
      <alignment horizontal="center" vertical="center"/>
      <protection hidden="1"/>
    </xf>
    <xf numFmtId="176" fontId="2" fillId="3" borderId="17" xfId="0" applyNumberFormat="1" applyFont="1" applyFill="1" applyBorder="1" applyAlignment="1" applyProtection="1">
      <alignment horizontal="center" vertical="center"/>
      <protection locked="0"/>
    </xf>
    <xf numFmtId="0" fontId="1" fillId="0" borderId="0" xfId="0" applyFont="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Font="1" applyAlignment="1" applyProtection="1">
      <alignment horizontal="right" vertical="center"/>
      <protection hidden="1"/>
    </xf>
    <xf numFmtId="0" fontId="1" fillId="0" borderId="17" xfId="0" applyFont="1" applyBorder="1" applyAlignment="1" applyProtection="1">
      <alignment horizontal="center" vertical="center" wrapText="1"/>
      <protection hidden="1"/>
    </xf>
    <xf numFmtId="0" fontId="1" fillId="0" borderId="17" xfId="0" applyFont="1" applyFill="1" applyBorder="1" applyAlignment="1" applyProtection="1">
      <alignment horizontal="center" vertical="center" wrapText="1"/>
    </xf>
    <xf numFmtId="0" fontId="2" fillId="0" borderId="17" xfId="0" applyFont="1" applyBorder="1" applyAlignment="1" applyProtection="1">
      <alignment horizontal="center" vertical="center"/>
      <protection hidden="1"/>
    </xf>
    <xf numFmtId="0" fontId="2" fillId="8" borderId="17" xfId="0" applyFont="1" applyFill="1" applyBorder="1" applyAlignment="1" applyProtection="1">
      <alignment horizontal="center" vertical="center"/>
      <protection hidden="1"/>
    </xf>
    <xf numFmtId="0" fontId="2" fillId="0" borderId="17" xfId="0" applyFont="1" applyFill="1" applyBorder="1" applyAlignment="1" applyProtection="1">
      <alignment horizontal="center" vertical="center"/>
    </xf>
    <xf numFmtId="0" fontId="2" fillId="0" borderId="17" xfId="0" applyFont="1" applyFill="1" applyBorder="1" applyAlignment="1" applyProtection="1">
      <alignment horizontal="center" vertical="center"/>
      <protection hidden="1"/>
    </xf>
    <xf numFmtId="0" fontId="12" fillId="8" borderId="17" xfId="0" applyFont="1" applyFill="1" applyBorder="1" applyAlignment="1" applyProtection="1">
      <alignment horizontal="center" vertical="center"/>
      <protection hidden="1"/>
    </xf>
    <xf numFmtId="0" fontId="2" fillId="8" borderId="0" xfId="0" applyFont="1" applyFill="1" applyAlignment="1" applyProtection="1">
      <alignment horizontal="center" vertical="center"/>
      <protection hidden="1"/>
    </xf>
    <xf numFmtId="0" fontId="2" fillId="0" borderId="0" xfId="0" applyFont="1" applyFill="1" applyAlignment="1" applyProtection="1">
      <alignment horizontal="center" vertical="center"/>
    </xf>
    <xf numFmtId="0" fontId="2" fillId="0" borderId="0" xfId="0" applyFont="1" applyFill="1" applyAlignment="1" applyProtection="1">
      <alignment vertical="center"/>
    </xf>
    <xf numFmtId="0" fontId="1" fillId="8" borderId="17" xfId="0" applyFont="1" applyFill="1" applyBorder="1" applyAlignment="1" applyProtection="1">
      <alignment horizontal="center" vertical="center" wrapText="1"/>
      <protection hidden="1"/>
    </xf>
    <xf numFmtId="0" fontId="12" fillId="0" borderId="17" xfId="0" applyFont="1" applyBorder="1" applyAlignment="1" applyProtection="1">
      <alignment horizontal="center" vertical="center"/>
      <protection hidden="1"/>
    </xf>
    <xf numFmtId="0" fontId="1" fillId="0" borderId="0" xfId="0" applyFont="1" applyFill="1" applyAlignment="1" applyProtection="1">
      <alignment vertical="center"/>
      <protection hidden="1"/>
    </xf>
    <xf numFmtId="0" fontId="7" fillId="0" borderId="17" xfId="0" applyFont="1" applyFill="1" applyBorder="1" applyAlignment="1" applyProtection="1">
      <alignment horizontal="center" vertical="center"/>
      <protection hidden="1"/>
    </xf>
    <xf numFmtId="0" fontId="12" fillId="0" borderId="17" xfId="0" applyFont="1" applyFill="1" applyBorder="1" applyAlignment="1" applyProtection="1">
      <alignment horizontal="center" vertical="center"/>
    </xf>
    <xf numFmtId="0" fontId="12" fillId="0" borderId="0" xfId="0" applyFont="1" applyAlignment="1" applyProtection="1">
      <alignment vertical="center"/>
      <protection hidden="1"/>
    </xf>
    <xf numFmtId="0" fontId="2" fillId="2" borderId="17" xfId="0" applyFont="1" applyFill="1" applyBorder="1" applyAlignment="1" applyProtection="1">
      <alignment vertical="center"/>
      <protection hidden="1"/>
    </xf>
    <xf numFmtId="0" fontId="1" fillId="0" borderId="17" xfId="0" applyFont="1" applyFill="1" applyBorder="1" applyAlignment="1" applyProtection="1">
      <alignment horizontal="center" vertical="center" wrapText="1"/>
      <protection hidden="1"/>
    </xf>
    <xf numFmtId="0" fontId="2" fillId="0" borderId="17" xfId="0" applyFont="1" applyBorder="1" applyAlignment="1" applyProtection="1">
      <alignment horizontal="center" vertical="center" wrapText="1"/>
      <protection hidden="1"/>
    </xf>
    <xf numFmtId="0" fontId="12" fillId="7" borderId="17" xfId="0" applyFont="1" applyFill="1" applyBorder="1" applyAlignment="1" applyProtection="1">
      <alignment horizontal="center" vertical="center"/>
      <protection locked="0"/>
    </xf>
    <xf numFmtId="0" fontId="12" fillId="0" borderId="17" xfId="0" applyFont="1" applyFill="1" applyBorder="1" applyAlignment="1" applyProtection="1">
      <alignment horizontal="center" vertical="center"/>
      <protection hidden="1"/>
    </xf>
    <xf numFmtId="0" fontId="2" fillId="7" borderId="17" xfId="0" applyFont="1" applyFill="1" applyBorder="1" applyAlignment="1" applyProtection="1">
      <alignment horizontal="center" vertical="center"/>
      <protection locked="0"/>
    </xf>
    <xf numFmtId="0" fontId="0" fillId="0" borderId="17" xfId="0" applyBorder="1" applyAlignment="1" applyProtection="1">
      <alignment horizontal="center" vertical="center" wrapText="1"/>
      <protection hidden="1"/>
    </xf>
    <xf numFmtId="0" fontId="12" fillId="7" borderId="17" xfId="0" applyFont="1" applyFill="1" applyBorder="1" applyAlignment="1" applyProtection="1">
      <alignment horizontal="center" vertical="center" wrapText="1"/>
      <protection locked="0"/>
    </xf>
    <xf numFmtId="0" fontId="0" fillId="0" borderId="17" xfId="0" applyBorder="1" applyAlignment="1" applyProtection="1">
      <alignment horizontal="center" vertical="center"/>
      <protection hidden="1"/>
    </xf>
    <xf numFmtId="0" fontId="0" fillId="0" borderId="17" xfId="0" applyBorder="1" applyAlignment="1" applyProtection="1">
      <alignment horizontal="center" vertical="center"/>
    </xf>
    <xf numFmtId="2" fontId="12" fillId="0" borderId="17" xfId="0" applyNumberFormat="1"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xf>
    <xf numFmtId="0" fontId="1" fillId="0" borderId="0" xfId="0" applyFont="1" applyAlignment="1">
      <alignment wrapText="1"/>
    </xf>
    <xf numFmtId="0" fontId="2" fillId="0" borderId="0" xfId="0" applyFont="1" applyAlignment="1">
      <alignment wrapText="1"/>
    </xf>
    <xf numFmtId="0" fontId="0" fillId="0" borderId="0" xfId="0" applyAlignment="1">
      <alignment wrapText="1"/>
    </xf>
    <xf numFmtId="0" fontId="4" fillId="0" borderId="0" xfId="0" applyFont="1" applyAlignment="1" applyProtection="1">
      <alignment horizontal="left" wrapText="1"/>
    </xf>
    <xf numFmtId="0" fontId="3" fillId="0" borderId="0" xfId="0" applyFont="1" applyAlignment="1" applyProtection="1">
      <alignment horizontal="left" wrapText="1"/>
      <protection hidden="1"/>
    </xf>
    <xf numFmtId="0" fontId="3" fillId="0" borderId="0" xfId="0" applyFont="1" applyAlignment="1" applyProtection="1">
      <alignment horizontal="center"/>
    </xf>
    <xf numFmtId="14" fontId="2" fillId="0" borderId="0" xfId="0" applyNumberFormat="1" applyFont="1" applyAlignment="1" applyProtection="1">
      <alignment horizontal="center"/>
    </xf>
    <xf numFmtId="0" fontId="2" fillId="0" borderId="0" xfId="0" applyFont="1" applyAlignment="1" applyProtection="1">
      <alignment horizontal="left" wrapText="1"/>
    </xf>
    <xf numFmtId="0" fontId="2" fillId="0" borderId="0" xfId="0" applyFont="1" applyAlignment="1" applyProtection="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2:E23"/>
  <sheetViews>
    <sheetView workbookViewId="0">
      <selection activeCell="A1" sqref="A1"/>
    </sheetView>
  </sheetViews>
  <sheetFormatPr defaultColWidth="9" defaultRowHeight="15.75" outlineLevelCol="4"/>
  <cols>
    <col min="1" max="1" width="3.28333333333333" style="2" customWidth="1"/>
    <col min="2" max="3" width="17" style="7" customWidth="1"/>
    <col min="4" max="4" width="21.2833333333333" style="7" customWidth="1"/>
    <col min="5" max="5" width="29.7083333333333" style="2" customWidth="1"/>
    <col min="6" max="16384" width="9.14166666666667" style="2"/>
  </cols>
  <sheetData>
    <row r="2" spans="2:3">
      <c r="B2" s="9" t="s">
        <v>0</v>
      </c>
      <c r="C2" s="2" t="s">
        <v>1</v>
      </c>
    </row>
    <row r="3" spans="2:3">
      <c r="B3" s="144"/>
      <c r="C3" s="2"/>
    </row>
    <row r="4" spans="2:3">
      <c r="B4" s="9" t="s">
        <v>2</v>
      </c>
      <c r="C4" s="2" t="s">
        <v>3</v>
      </c>
    </row>
    <row r="6" spans="2:4">
      <c r="B6" s="9" t="s">
        <v>4</v>
      </c>
      <c r="C6" s="9"/>
      <c r="D6" s="9"/>
    </row>
    <row r="7" spans="2:5">
      <c r="B7" s="7" t="s">
        <v>5</v>
      </c>
      <c r="C7" s="7" t="s">
        <v>6</v>
      </c>
      <c r="D7" s="145">
        <v>40730</v>
      </c>
      <c r="E7" s="2" t="s">
        <v>7</v>
      </c>
    </row>
    <row r="8" spans="2:5">
      <c r="B8" s="7" t="s">
        <v>5</v>
      </c>
      <c r="C8" s="7" t="s">
        <v>8</v>
      </c>
      <c r="D8" s="145">
        <v>40735</v>
      </c>
      <c r="E8" s="2" t="s">
        <v>9</v>
      </c>
    </row>
    <row r="9" spans="2:5">
      <c r="B9" s="7" t="s">
        <v>5</v>
      </c>
      <c r="C9" s="7" t="s">
        <v>10</v>
      </c>
      <c r="D9" s="145">
        <v>40935</v>
      </c>
      <c r="E9" s="2" t="s">
        <v>11</v>
      </c>
    </row>
    <row r="10" spans="2:5">
      <c r="B10" s="7" t="s">
        <v>5</v>
      </c>
      <c r="C10" s="7" t="s">
        <v>12</v>
      </c>
      <c r="D10" s="145">
        <v>41180</v>
      </c>
      <c r="E10" s="2" t="s">
        <v>13</v>
      </c>
    </row>
    <row r="11" spans="4:4">
      <c r="D11" s="145"/>
    </row>
    <row r="13" spans="2:2">
      <c r="B13" s="9" t="s">
        <v>2</v>
      </c>
    </row>
    <row r="14" ht="69.75" customHeight="1" spans="2:5">
      <c r="B14" s="146" t="s">
        <v>14</v>
      </c>
      <c r="C14" s="146"/>
      <c r="D14" s="146"/>
      <c r="E14" s="147"/>
    </row>
    <row r="22" spans="2:2">
      <c r="B22" s="10" t="s">
        <v>15</v>
      </c>
    </row>
    <row r="23" spans="2:2">
      <c r="B23" s="9"/>
    </row>
  </sheetData>
  <sheetProtection password="DF21" sheet="1" selectLockedCells="1" objects="1" scenarios="1"/>
  <mergeCells count="1">
    <mergeCell ref="B14:E14"/>
  </mergeCells>
  <pageMargins left="0.699305555555556" right="0.699305555555556"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2:B20"/>
  <sheetViews>
    <sheetView workbookViewId="0">
      <selection activeCell="A1" sqref="A1"/>
    </sheetView>
  </sheetViews>
  <sheetFormatPr defaultColWidth="14" defaultRowHeight="15.75" outlineLevelCol="1"/>
  <cols>
    <col min="1" max="1" width="3.85833333333333" style="140" customWidth="1"/>
    <col min="2" max="2" width="113.425" style="140" customWidth="1"/>
    <col min="3" max="16384" width="14" style="140"/>
  </cols>
  <sheetData>
    <row r="2" s="139" customFormat="1" spans="2:2">
      <c r="B2" s="139" t="s">
        <v>16</v>
      </c>
    </row>
    <row r="3" spans="2:2">
      <c r="B3" s="140" t="s">
        <v>17</v>
      </c>
    </row>
    <row r="4" spans="2:2">
      <c r="B4" s="140" t="s">
        <v>18</v>
      </c>
    </row>
    <row r="5" ht="31.5" spans="2:2">
      <c r="B5" s="140" t="s">
        <v>19</v>
      </c>
    </row>
    <row r="6" spans="2:2">
      <c r="B6" s="140" t="s">
        <v>20</v>
      </c>
    </row>
    <row r="7" spans="2:2">
      <c r="B7" s="140" t="s">
        <v>21</v>
      </c>
    </row>
    <row r="11" spans="2:2">
      <c r="B11" s="140" t="s">
        <v>22</v>
      </c>
    </row>
    <row r="15" ht="40.5" spans="2:2">
      <c r="B15" s="141" t="s">
        <v>23</v>
      </c>
    </row>
    <row r="19" spans="2:2">
      <c r="B19" s="142" t="s">
        <v>15</v>
      </c>
    </row>
    <row r="20" spans="2:2">
      <c r="B20" s="143"/>
    </row>
  </sheetData>
  <sheetProtection password="DF21" sheet="1" selectLockedCells="1" objects="1" scenarios="1"/>
  <pageMargins left="0.75" right="0.75" top="1" bottom="1" header="0.5" footer="0.5"/>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3:F66"/>
  <sheetViews>
    <sheetView tabSelected="1" zoomScale="90" zoomScaleNormal="90" topLeftCell="A37" workbookViewId="0">
      <selection activeCell="C45" sqref="C45"/>
    </sheetView>
  </sheetViews>
  <sheetFormatPr defaultColWidth="9" defaultRowHeight="15.75" outlineLevelCol="5"/>
  <cols>
    <col min="1" max="1" width="4.14166666666667" style="96" customWidth="1"/>
    <col min="2" max="2" width="35.7083333333333" style="97" customWidth="1"/>
    <col min="3" max="3" width="40.7083333333333" style="96" customWidth="1"/>
    <col min="4" max="5" width="16" style="98" customWidth="1"/>
    <col min="6" max="6" width="15.7083333333333" style="98" customWidth="1"/>
    <col min="7" max="16384" width="9.14166666666667" style="96"/>
  </cols>
  <sheetData>
    <row r="3" ht="26.25" spans="2:4">
      <c r="B3" s="99" t="s">
        <v>24</v>
      </c>
      <c r="C3" s="100"/>
      <c r="D3" s="100"/>
    </row>
    <row r="4" spans="3:4">
      <c r="C4" s="101"/>
      <c r="D4" s="100"/>
    </row>
    <row r="5" spans="2:4">
      <c r="B5" s="102"/>
      <c r="C5" s="103" t="s">
        <v>25</v>
      </c>
      <c r="D5" s="104" t="s">
        <v>26</v>
      </c>
    </row>
    <row r="6" spans="2:4">
      <c r="B6" s="103" t="s">
        <v>27</v>
      </c>
      <c r="C6" s="105">
        <v>666.666666666667</v>
      </c>
      <c r="D6" s="104" t="s">
        <v>28</v>
      </c>
    </row>
    <row r="7" spans="2:4">
      <c r="B7" s="103" t="s">
        <v>29</v>
      </c>
      <c r="C7" s="106">
        <f>C6*2</f>
        <v>1333.33333333333</v>
      </c>
      <c r="D7" s="104" t="s">
        <v>28</v>
      </c>
    </row>
    <row r="8" spans="2:4">
      <c r="B8" s="103" t="s">
        <v>30</v>
      </c>
      <c r="C8" s="106">
        <f>1/CLOCK_FREQ*1000</f>
        <v>1.5</v>
      </c>
      <c r="D8" s="104" t="s">
        <v>31</v>
      </c>
    </row>
    <row r="9" spans="2:4">
      <c r="B9" s="103" t="s">
        <v>32</v>
      </c>
      <c r="C9" s="107" t="s">
        <v>33</v>
      </c>
      <c r="D9" s="104"/>
    </row>
    <row r="10" spans="2:4">
      <c r="B10" s="108"/>
      <c r="C10" s="109"/>
      <c r="D10" s="100"/>
    </row>
    <row r="11" spans="2:4">
      <c r="B11" s="110"/>
      <c r="C11" s="109"/>
      <c r="D11" s="100"/>
    </row>
    <row r="12" ht="26.25" spans="2:4">
      <c r="B12" s="99" t="s">
        <v>34</v>
      </c>
      <c r="C12" s="100"/>
      <c r="D12" s="100"/>
    </row>
    <row r="13" spans="3:4">
      <c r="C13" s="101"/>
      <c r="D13" s="100"/>
    </row>
    <row r="14" ht="47.25" spans="2:6">
      <c r="B14" s="111" t="s">
        <v>35</v>
      </c>
      <c r="C14" s="111" t="s">
        <v>36</v>
      </c>
      <c r="D14" s="104" t="s">
        <v>26</v>
      </c>
      <c r="E14" s="112" t="s">
        <v>37</v>
      </c>
      <c r="F14" s="112" t="s">
        <v>38</v>
      </c>
    </row>
    <row r="15" spans="2:6">
      <c r="B15" s="113" t="s">
        <v>39</v>
      </c>
      <c r="C15" s="114">
        <f>HLOOKUP($C$9,Datasheet!C2:AG31,2,FALSE)</f>
        <v>13.75</v>
      </c>
      <c r="D15" s="104" t="s">
        <v>31</v>
      </c>
      <c r="E15" s="115">
        <f>CEILING(C15/CLOCK_PERIOD,1)-1</f>
        <v>9</v>
      </c>
      <c r="F15" s="115" t="str">
        <f t="shared" ref="F15:F21" si="0">DEC2HEX(E15)</f>
        <v>9</v>
      </c>
    </row>
    <row r="16" spans="2:6">
      <c r="B16" s="113" t="s">
        <v>40</v>
      </c>
      <c r="C16" s="114">
        <f>HLOOKUP($C$9,Datasheet!C2:AG31,4,FALSE)</f>
        <v>13.75</v>
      </c>
      <c r="D16" s="104" t="s">
        <v>31</v>
      </c>
      <c r="E16" s="115">
        <f>CEILING(C16/CLOCK_PERIOD,1)-1</f>
        <v>9</v>
      </c>
      <c r="F16" s="115" t="str">
        <f t="shared" si="0"/>
        <v>9</v>
      </c>
    </row>
    <row r="17" spans="2:6">
      <c r="B17" s="113" t="s">
        <v>41</v>
      </c>
      <c r="C17" s="114">
        <f>HLOOKUP($C$9,Datasheet!C2:AG31,6,FALSE)</f>
        <v>15</v>
      </c>
      <c r="D17" s="104" t="s">
        <v>31</v>
      </c>
      <c r="E17" s="115">
        <f>CEILING(C17/CLOCK_PERIOD,1)-1</f>
        <v>9</v>
      </c>
      <c r="F17" s="115" t="str">
        <f t="shared" si="0"/>
        <v>9</v>
      </c>
    </row>
    <row r="18" spans="2:6">
      <c r="B18" s="113" t="s">
        <v>42</v>
      </c>
      <c r="C18" s="114">
        <f>HLOOKUP($C$9,Datasheet!C2:AG31,8,FALSE)</f>
        <v>35</v>
      </c>
      <c r="D18" s="104" t="s">
        <v>31</v>
      </c>
      <c r="E18" s="115">
        <f>CEILING(C18/CLOCK_PERIOD,1)-1</f>
        <v>23</v>
      </c>
      <c r="F18" s="115" t="str">
        <f t="shared" si="0"/>
        <v>17</v>
      </c>
    </row>
    <row r="19" spans="2:6">
      <c r="B19" s="113" t="s">
        <v>43</v>
      </c>
      <c r="C19" s="114">
        <f>HLOOKUP($C$9,Datasheet!C2:AG31,10,FALSE)</f>
        <v>48.75</v>
      </c>
      <c r="D19" s="104" t="s">
        <v>31</v>
      </c>
      <c r="E19" s="115">
        <f>CEILING(C19/CLOCK_PERIOD,1)-1</f>
        <v>32</v>
      </c>
      <c r="F19" s="115" t="str">
        <f t="shared" si="0"/>
        <v>20</v>
      </c>
    </row>
    <row r="20" spans="2:6">
      <c r="B20" s="116" t="s">
        <v>44</v>
      </c>
      <c r="C20" s="117">
        <f>HLOOKUP($C$9,Datasheet!C2:AG31,12,FALSE)</f>
        <v>40</v>
      </c>
      <c r="D20" s="104" t="s">
        <v>31</v>
      </c>
      <c r="E20" s="115">
        <f>CEILING(C20/(CLOCK_PERIOD*4),1)-1</f>
        <v>6</v>
      </c>
      <c r="F20" s="115" t="str">
        <f t="shared" si="0"/>
        <v>6</v>
      </c>
    </row>
    <row r="21" spans="2:6">
      <c r="B21" s="113" t="s">
        <v>45</v>
      </c>
      <c r="C21" s="114">
        <f>HLOOKUP($C$9,Datasheet!C2:AG31,14,FALSE)</f>
        <v>7.5</v>
      </c>
      <c r="D21" s="104" t="s">
        <v>31</v>
      </c>
      <c r="E21" s="115">
        <f>CEILING(C21/CLOCK_PERIOD,1)-1</f>
        <v>4</v>
      </c>
      <c r="F21" s="115" t="str">
        <f t="shared" si="0"/>
        <v>4</v>
      </c>
    </row>
    <row r="22" spans="2:6">
      <c r="B22" s="101"/>
      <c r="C22" s="118"/>
      <c r="D22" s="100"/>
      <c r="E22" s="119"/>
      <c r="F22" s="120"/>
    </row>
    <row r="23" ht="47.25" spans="2:6">
      <c r="B23" s="111" t="s">
        <v>46</v>
      </c>
      <c r="C23" s="121" t="s">
        <v>36</v>
      </c>
      <c r="D23" s="104" t="s">
        <v>26</v>
      </c>
      <c r="E23" s="112" t="s">
        <v>37</v>
      </c>
      <c r="F23" s="112" t="s">
        <v>38</v>
      </c>
    </row>
    <row r="24" spans="2:6">
      <c r="B24" s="113" t="s">
        <v>47</v>
      </c>
      <c r="C24" s="117">
        <f>HLOOKUP($C$9,Datasheet!C2:AG31,16,FALSE)</f>
        <v>6</v>
      </c>
      <c r="D24" s="104" t="s">
        <v>31</v>
      </c>
      <c r="E24" s="115">
        <f>CEILING(C24/CLOCK_PERIOD,1)-1</f>
        <v>3</v>
      </c>
      <c r="F24" s="115" t="str">
        <f t="shared" ref="F24:F28" si="1">DEC2HEX(E24)</f>
        <v>3</v>
      </c>
    </row>
    <row r="25" spans="2:6">
      <c r="B25" s="113" t="s">
        <v>48</v>
      </c>
      <c r="C25" s="117">
        <f>HLOOKUP($C$9,Datasheet!C2:AG31,18,FALSE)</f>
        <v>270</v>
      </c>
      <c r="D25" s="104" t="s">
        <v>31</v>
      </c>
      <c r="E25" s="115">
        <f>CEILING(C25/CLOCK_PERIOD,1)-1</f>
        <v>179</v>
      </c>
      <c r="F25" s="115" t="str">
        <f t="shared" si="1"/>
        <v>B3</v>
      </c>
    </row>
    <row r="26" spans="2:6">
      <c r="B26" s="122" t="s">
        <v>49</v>
      </c>
      <c r="C26" s="114">
        <f>HLOOKUP($C$9,Datasheet!C2:AG31,20,FALSE)</f>
        <v>512</v>
      </c>
      <c r="D26" s="104" t="s">
        <v>50</v>
      </c>
      <c r="E26" s="115">
        <f>C26-1</f>
        <v>511</v>
      </c>
      <c r="F26" s="115" t="str">
        <f t="shared" si="1"/>
        <v>1FF</v>
      </c>
    </row>
    <row r="27" spans="2:6">
      <c r="B27" s="113" t="s">
        <v>51</v>
      </c>
      <c r="C27" s="114">
        <f>HLOOKUP($C$9,Datasheet!C2:AG31,22,FALSE)</f>
        <v>7.5</v>
      </c>
      <c r="D27" s="104" t="s">
        <v>31</v>
      </c>
      <c r="E27" s="115">
        <f>CEILING(C27/CLOCK_PERIOD,1)-1</f>
        <v>4</v>
      </c>
      <c r="F27" s="115" t="str">
        <f t="shared" si="1"/>
        <v>4</v>
      </c>
    </row>
    <row r="28" spans="2:6">
      <c r="B28" s="113" t="s">
        <v>52</v>
      </c>
      <c r="C28" s="114">
        <f>HLOOKUP($C$9,Datasheet!C2:AG31,24,FALSE)</f>
        <v>5.625</v>
      </c>
      <c r="D28" s="104" t="s">
        <v>31</v>
      </c>
      <c r="E28" s="115">
        <f>CEILING(C28/CLOCK_PERIOD,1)-1</f>
        <v>3</v>
      </c>
      <c r="F28" s="115" t="str">
        <f t="shared" si="1"/>
        <v>3</v>
      </c>
    </row>
    <row r="29" spans="2:6">
      <c r="B29" s="101"/>
      <c r="C29" s="118"/>
      <c r="D29" s="123"/>
      <c r="E29" s="119"/>
      <c r="F29" s="120"/>
    </row>
    <row r="30" ht="47.25" spans="2:6">
      <c r="B30" s="111" t="s">
        <v>53</v>
      </c>
      <c r="C30" s="121" t="s">
        <v>36</v>
      </c>
      <c r="D30" s="104" t="s">
        <v>26</v>
      </c>
      <c r="E30" s="112" t="s">
        <v>37</v>
      </c>
      <c r="F30" s="112" t="s">
        <v>38</v>
      </c>
    </row>
    <row r="31" spans="2:6">
      <c r="B31" s="113" t="s">
        <v>54</v>
      </c>
      <c r="C31" s="117">
        <f>HLOOKUP($C$9,Datasheet!C2:AG31,26,FALSE)</f>
        <v>7.125</v>
      </c>
      <c r="D31" s="124" t="s">
        <v>31</v>
      </c>
      <c r="E31" s="115">
        <f>CEILING(C31/CLOCK_PERIOD,1)-1</f>
        <v>4</v>
      </c>
      <c r="F31" s="125" t="str">
        <f t="shared" ref="F31:F33" si="2">DEC2HEX(E31)</f>
        <v>4</v>
      </c>
    </row>
    <row r="32" spans="2:6">
      <c r="B32" s="113" t="s">
        <v>55</v>
      </c>
      <c r="C32" s="117">
        <f>HLOOKUP($C$9,Datasheet!C2:AG31,28,FALSE)</f>
        <v>64</v>
      </c>
      <c r="D32" s="104" t="s">
        <v>50</v>
      </c>
      <c r="E32" s="115">
        <f>C32-1</f>
        <v>63</v>
      </c>
      <c r="F32" s="115" t="str">
        <f t="shared" si="2"/>
        <v>3F</v>
      </c>
    </row>
    <row r="33" spans="2:6">
      <c r="B33" s="113" t="s">
        <v>56</v>
      </c>
      <c r="C33" s="117">
        <f>HLOOKUP($C$9,Datasheet!C2:AG31,30,FALSE)</f>
        <v>260</v>
      </c>
      <c r="D33" s="104" t="s">
        <v>31</v>
      </c>
      <c r="E33" s="115">
        <f>CEILING(C33/CLOCK_PERIOD,1)-1</f>
        <v>173</v>
      </c>
      <c r="F33" s="115" t="str">
        <f t="shared" si="2"/>
        <v>AD</v>
      </c>
    </row>
    <row r="34" spans="3:3">
      <c r="C34" s="126"/>
    </row>
    <row r="36" ht="26.25" spans="2:3">
      <c r="B36" s="99" t="s">
        <v>57</v>
      </c>
      <c r="C36" s="98"/>
    </row>
    <row r="38" ht="47.25" spans="2:6">
      <c r="B38" s="111" t="s">
        <v>58</v>
      </c>
      <c r="C38" s="111" t="s">
        <v>59</v>
      </c>
      <c r="D38" s="127"/>
      <c r="E38" s="128" t="s">
        <v>37</v>
      </c>
      <c r="F38" s="128" t="s">
        <v>38</v>
      </c>
    </row>
    <row r="39" spans="2:6">
      <c r="B39" s="129" t="s">
        <v>60</v>
      </c>
      <c r="C39" s="130" t="s">
        <v>61</v>
      </c>
      <c r="D39" s="127"/>
      <c r="E39" s="131">
        <f>VLOOKUP(C39,Lookup!B3:C6,2,FALSE)</f>
        <v>0</v>
      </c>
      <c r="F39" s="116" t="str">
        <f t="shared" ref="F39:F49" si="3">DEC2HEX(E39)</f>
        <v>0</v>
      </c>
    </row>
    <row r="40" spans="2:6">
      <c r="B40" s="129" t="s">
        <v>62</v>
      </c>
      <c r="C40" s="130" t="s">
        <v>63</v>
      </c>
      <c r="D40" s="127"/>
      <c r="E40" s="131">
        <f>VLOOKUP(C40,Lookup!E3:F8,2,FALSE)</f>
        <v>3</v>
      </c>
      <c r="F40" s="116" t="str">
        <f t="shared" si="3"/>
        <v>3</v>
      </c>
    </row>
    <row r="41" spans="2:6">
      <c r="B41" s="113" t="s">
        <v>64</v>
      </c>
      <c r="C41" s="130" t="s">
        <v>65</v>
      </c>
      <c r="D41" s="127"/>
      <c r="E41" s="131">
        <f>VLOOKUP(C41,Lookup!H3:I5,2,FALSE)</f>
        <v>0</v>
      </c>
      <c r="F41" s="116" t="str">
        <f t="shared" si="3"/>
        <v>0</v>
      </c>
    </row>
    <row r="42" spans="2:6">
      <c r="B42" s="113" t="s">
        <v>66</v>
      </c>
      <c r="C42" s="130" t="s">
        <v>67</v>
      </c>
      <c r="D42" s="127"/>
      <c r="E42" s="131">
        <f>VLOOKUP(C42,Lookup!B12:C13,2,FALSE)</f>
        <v>1</v>
      </c>
      <c r="F42" s="116" t="str">
        <f t="shared" si="3"/>
        <v>1</v>
      </c>
    </row>
    <row r="43" spans="2:6">
      <c r="B43" s="113" t="s">
        <v>68</v>
      </c>
      <c r="C43" s="130" t="s">
        <v>69</v>
      </c>
      <c r="D43" s="127"/>
      <c r="E43" s="131">
        <f>VLOOKUP(C43,Lookup!E12:F15,2,FALSE)</f>
        <v>3</v>
      </c>
      <c r="F43" s="116" t="str">
        <f t="shared" si="3"/>
        <v>3</v>
      </c>
    </row>
    <row r="44" spans="2:6">
      <c r="B44" s="113" t="s">
        <v>70</v>
      </c>
      <c r="C44" s="132" t="s">
        <v>71</v>
      </c>
      <c r="D44" s="127"/>
      <c r="E44" s="116">
        <f>VLOOKUP(C44,Lookup!H12:I14,2,FALSE)</f>
        <v>1</v>
      </c>
      <c r="F44" s="116" t="str">
        <f t="shared" si="3"/>
        <v>1</v>
      </c>
    </row>
    <row r="45" spans="2:6">
      <c r="B45" s="113" t="s">
        <v>72</v>
      </c>
      <c r="C45" s="132" t="s">
        <v>73</v>
      </c>
      <c r="D45" s="127"/>
      <c r="E45" s="116">
        <f>VLOOKUP(C45,Lookup!E30:F36,2,FALSE)</f>
        <v>14</v>
      </c>
      <c r="F45" s="116" t="str">
        <f t="shared" si="3"/>
        <v>E</v>
      </c>
    </row>
    <row r="46" spans="2:6">
      <c r="B46" s="113" t="s">
        <v>74</v>
      </c>
      <c r="C46" s="130" t="s">
        <v>75</v>
      </c>
      <c r="D46" s="127"/>
      <c r="E46" s="131">
        <f>VLOOKUP(C46,Lookup!B19:C26,2,FALSE)</f>
        <v>6</v>
      </c>
      <c r="F46" s="116" t="str">
        <f t="shared" si="3"/>
        <v>6</v>
      </c>
    </row>
    <row r="47" spans="2:6">
      <c r="B47" s="113" t="s">
        <v>76</v>
      </c>
      <c r="C47" s="132" t="s">
        <v>77</v>
      </c>
      <c r="D47" s="127"/>
      <c r="E47" s="116">
        <f>VLOOKUP(C47,Lookup!E19:F22,2,FALSE)</f>
        <v>3</v>
      </c>
      <c r="F47" s="116" t="str">
        <f t="shared" si="3"/>
        <v>3</v>
      </c>
    </row>
    <row r="48" spans="2:6">
      <c r="B48" s="113" t="s">
        <v>78</v>
      </c>
      <c r="C48" s="132" t="s">
        <v>79</v>
      </c>
      <c r="D48" s="127"/>
      <c r="E48" s="116">
        <f>VLOOKUP(C48,Lookup!H19:I20,2,FALSE)</f>
        <v>0</v>
      </c>
      <c r="F48" s="116" t="str">
        <f t="shared" si="3"/>
        <v>0</v>
      </c>
    </row>
    <row r="49" spans="2:6">
      <c r="B49" s="113" t="s">
        <v>80</v>
      </c>
      <c r="C49" s="132" t="s">
        <v>81</v>
      </c>
      <c r="D49" s="127"/>
      <c r="E49" s="116">
        <f>VLOOKUP(C49,Lookup!B30:C33,2,FALSE)</f>
        <v>3</v>
      </c>
      <c r="F49" s="116" t="str">
        <f t="shared" si="3"/>
        <v>3</v>
      </c>
    </row>
    <row r="52" ht="26.25" spans="2:3">
      <c r="B52" s="99" t="s">
        <v>82</v>
      </c>
      <c r="C52" s="98"/>
    </row>
    <row r="54" ht="47.25" spans="2:6">
      <c r="B54" s="111" t="s">
        <v>83</v>
      </c>
      <c r="C54" s="111" t="s">
        <v>84</v>
      </c>
      <c r="D54" s="104" t="s">
        <v>26</v>
      </c>
      <c r="E54" s="128" t="s">
        <v>37</v>
      </c>
      <c r="F54" s="128" t="s">
        <v>38</v>
      </c>
    </row>
    <row r="55" spans="2:6">
      <c r="B55" s="133" t="s">
        <v>85</v>
      </c>
      <c r="C55" s="134" t="s">
        <v>86</v>
      </c>
      <c r="D55" s="127"/>
      <c r="E55" s="116">
        <f>VLOOKUP(C55,Lookup!B40:C41,2,FALSE)</f>
        <v>0</v>
      </c>
      <c r="F55" s="116" t="str">
        <f t="shared" ref="F55:F58" si="4">DEC2HEX(E55)</f>
        <v>0</v>
      </c>
    </row>
    <row r="56" spans="2:6">
      <c r="B56" s="133" t="s">
        <v>87</v>
      </c>
      <c r="C56" s="134" t="s">
        <v>88</v>
      </c>
      <c r="D56" s="127"/>
      <c r="E56" s="116">
        <f>VLOOKUP(C56,Lookup!B44:C45,2,FALSE)</f>
        <v>0</v>
      </c>
      <c r="F56" s="116" t="str">
        <f t="shared" si="4"/>
        <v>0</v>
      </c>
    </row>
    <row r="57" spans="2:6">
      <c r="B57" s="133" t="s">
        <v>89</v>
      </c>
      <c r="C57" s="134" t="s">
        <v>90</v>
      </c>
      <c r="D57" s="127"/>
      <c r="E57" s="116">
        <f>VLOOKUP(C57,Lookup!E40:F41,2,FALSE)</f>
        <v>0</v>
      </c>
      <c r="F57" s="116" t="str">
        <f t="shared" si="4"/>
        <v>0</v>
      </c>
    </row>
    <row r="58" spans="2:6">
      <c r="B58" s="135" t="s">
        <v>91</v>
      </c>
      <c r="C58" s="134" t="s">
        <v>92</v>
      </c>
      <c r="D58" s="127"/>
      <c r="E58" s="116">
        <f>VLOOKUP(C58,Lookup!H40:I47,2,FALSE)</f>
        <v>0</v>
      </c>
      <c r="F58" s="116" t="str">
        <f t="shared" si="4"/>
        <v>0</v>
      </c>
    </row>
    <row r="59" spans="2:6">
      <c r="B59" s="136" t="s">
        <v>93</v>
      </c>
      <c r="C59" s="137">
        <f>64000/8192</f>
        <v>7.8125</v>
      </c>
      <c r="D59" s="138" t="s">
        <v>94</v>
      </c>
      <c r="E59" s="115">
        <f>CEILING(C59*1000/CLOCK_PERIOD,1)-1</f>
        <v>5208</v>
      </c>
      <c r="F59" s="115" t="str">
        <f>DEC2HEX(E59,4)</f>
        <v>1458</v>
      </c>
    </row>
    <row r="60" spans="2:6">
      <c r="B60" s="136" t="s">
        <v>95</v>
      </c>
      <c r="C60" s="137">
        <f>32000/8192</f>
        <v>3.90625</v>
      </c>
      <c r="D60" s="138" t="s">
        <v>94</v>
      </c>
      <c r="E60" s="115">
        <f>CEILING(C60*1000/CLOCK_PERIOD,1)-1</f>
        <v>2604</v>
      </c>
      <c r="F60" s="115" t="str">
        <f t="shared" ref="F60:F61" si="5">DEC2HEX(E60,4)</f>
        <v>0A2C</v>
      </c>
    </row>
    <row r="61" spans="2:6">
      <c r="B61" s="136" t="s">
        <v>96</v>
      </c>
      <c r="C61" s="137">
        <f>500/16</f>
        <v>31.25</v>
      </c>
      <c r="D61" s="138" t="s">
        <v>94</v>
      </c>
      <c r="E61" s="115">
        <f>CEILING(C61*1000/CLOCK_PERIOD,1)-1</f>
        <v>20833</v>
      </c>
      <c r="F61" s="115" t="str">
        <f t="shared" si="5"/>
        <v>5161</v>
      </c>
    </row>
    <row r="66" spans="2:2">
      <c r="B66" s="95" t="s">
        <v>15</v>
      </c>
    </row>
  </sheetData>
  <sheetProtection password="DF21" sheet="1" objects="1" scenarios="1"/>
  <dataValidations count="16">
    <dataValidation type="list" allowBlank="1" showInputMessage="1" showErrorMessage="1" sqref="C9">
      <formula1>desc_Device_Speed_Grade</formula1>
    </dataValidation>
    <dataValidation type="list" allowBlank="1" showInputMessage="1" showErrorMessage="1" sqref="C46">
      <formula1>desc_ROWSIZE</formula1>
    </dataValidation>
    <dataValidation type="list" allowBlank="1" showInputMessage="1" showErrorMessage="1" sqref="C39">
      <formula1>desc_IBANK_POS</formula1>
    </dataValidation>
    <dataValidation type="list" allowBlank="1" showInputMessage="1" showErrorMessage="1" sqref="C42">
      <formula1>desc_SDRAM_DRIVE</formula1>
    </dataValidation>
    <dataValidation type="list" allowBlank="1" showInputMessage="1" showErrorMessage="1" sqref="C40">
      <formula1>desc_DDR_TERM</formula1>
    </dataValidation>
    <dataValidation type="list" allowBlank="1" showInputMessage="1" showErrorMessage="1" sqref="C44">
      <formula1>desc_NM</formula1>
    </dataValidation>
    <dataValidation type="list" allowBlank="1" showInputMessage="1" showErrorMessage="1" sqref="C41">
      <formula1>desc_DYN_ODT</formula1>
    </dataValidation>
    <dataValidation type="list" allowBlank="1" showInputMessage="1" showErrorMessage="1" sqref="C43">
      <formula1>desc_CWL</formula1>
    </dataValidation>
    <dataValidation type="list" allowBlank="1" showInputMessage="1" showErrorMessage="1" sqref="C45">
      <formula1>desc_CL</formula1>
    </dataValidation>
    <dataValidation type="list" allowBlank="1" showInputMessage="1" showErrorMessage="1" sqref="C47">
      <formula1>desc_IBANK</formula1>
    </dataValidation>
    <dataValidation type="list" allowBlank="1" showInputMessage="1" showErrorMessage="1" sqref="C48">
      <formula1>desc_EBANK</formula1>
    </dataValidation>
    <dataValidation type="list" allowBlank="1" showInputMessage="1" showErrorMessage="1" sqref="C49">
      <formula1>desc_PAGESIZE</formula1>
    </dataValidation>
    <dataValidation type="list" allowBlank="1" showInputMessage="1" showErrorMessage="1" sqref="C55">
      <formula1>desc_INITREF_DIS</formula1>
    </dataValidation>
    <dataValidation type="list" allowBlank="1" showInputMessage="1" showErrorMessage="1" sqref="C56">
      <formula1>desc_SRT</formula1>
    </dataValidation>
    <dataValidation type="list" allowBlank="1" showInputMessage="1" showErrorMessage="1" sqref="C57">
      <formula1>desc_ASR</formula1>
    </dataValidation>
    <dataValidation type="list" allowBlank="1" showInputMessage="1" showErrorMessage="1" sqref="C58">
      <formula1>desc_PASR</formula1>
    </dataValidation>
  </dataValidations>
  <pageMargins left="0.699305555555556" right="0.699305555555556" top="0.75" bottom="0.75" header="0.3" footer="0.3"/>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79"/>
  <sheetViews>
    <sheetView workbookViewId="0">
      <selection activeCell="D6" sqref="D6"/>
    </sheetView>
  </sheetViews>
  <sheetFormatPr defaultColWidth="19" defaultRowHeight="15.75"/>
  <cols>
    <col min="1" max="1" width="4.14166666666667" style="51" customWidth="1"/>
    <col min="2" max="9" width="19" style="52" customWidth="1"/>
    <col min="10" max="10" width="8.14166666666667" style="51" customWidth="1"/>
    <col min="11" max="16384" width="19" style="51"/>
  </cols>
  <sheetData>
    <row r="1" spans="1:2">
      <c r="A1" s="53"/>
      <c r="B1" s="54"/>
    </row>
    <row r="2" spans="3:5">
      <c r="C2" s="55"/>
      <c r="D2" s="56"/>
      <c r="E2" s="57"/>
    </row>
    <row r="3" s="47" customFormat="1" ht="26.25" spans="2:9">
      <c r="B3" s="58" t="s">
        <v>97</v>
      </c>
      <c r="C3" s="54"/>
      <c r="D3" s="54"/>
      <c r="E3" s="54"/>
      <c r="F3" s="54"/>
      <c r="G3" s="54"/>
      <c r="H3" s="54"/>
      <c r="I3" s="54"/>
    </row>
    <row r="5" spans="2:4">
      <c r="B5" s="59" t="s">
        <v>98</v>
      </c>
      <c r="C5" s="60" t="s">
        <v>99</v>
      </c>
      <c r="D5" s="61" t="s">
        <v>100</v>
      </c>
    </row>
    <row r="6" spans="2:4">
      <c r="B6" s="62" t="s">
        <v>101</v>
      </c>
      <c r="C6" s="63" t="s">
        <v>102</v>
      </c>
      <c r="D6" s="64" t="str">
        <f>D21</f>
        <v>13337834</v>
      </c>
    </row>
    <row r="7" spans="2:4">
      <c r="B7" s="62" t="s">
        <v>103</v>
      </c>
      <c r="C7" s="63" t="s">
        <v>104</v>
      </c>
      <c r="D7" s="64" t="str">
        <f>D31</f>
        <v>30B37FE3</v>
      </c>
    </row>
    <row r="8" spans="2:4">
      <c r="B8" s="62" t="s">
        <v>105</v>
      </c>
      <c r="C8" s="63" t="s">
        <v>106</v>
      </c>
      <c r="D8" s="64" t="str">
        <f>D41</f>
        <v>559F8ADF</v>
      </c>
    </row>
    <row r="9" spans="2:4">
      <c r="B9" s="62" t="s">
        <v>107</v>
      </c>
      <c r="C9" s="63" t="s">
        <v>108</v>
      </c>
      <c r="D9" s="64" t="str">
        <f>D51</f>
        <v>63077B33</v>
      </c>
    </row>
    <row r="10" spans="2:4">
      <c r="B10" s="62" t="s">
        <v>109</v>
      </c>
      <c r="C10" s="63" t="s">
        <v>110</v>
      </c>
      <c r="D10" s="64" t="str">
        <f>D64</f>
        <v>00001458</v>
      </c>
    </row>
    <row r="11" ht="31.5" spans="2:4">
      <c r="B11" s="62" t="s">
        <v>111</v>
      </c>
      <c r="C11" s="63" t="s">
        <v>110</v>
      </c>
      <c r="D11" s="64" t="str">
        <f>E64</f>
        <v>00000A2C</v>
      </c>
    </row>
    <row r="12" ht="32.25" spans="2:4">
      <c r="B12" s="65" t="s">
        <v>112</v>
      </c>
      <c r="C12" s="66" t="s">
        <v>110</v>
      </c>
      <c r="D12" s="67" t="str">
        <f>F64</f>
        <v>00005161</v>
      </c>
    </row>
    <row r="17" s="47" customFormat="1" ht="26.25" spans="2:9">
      <c r="B17" s="58" t="s">
        <v>113</v>
      </c>
      <c r="C17" s="54"/>
      <c r="D17" s="54"/>
      <c r="E17" s="54"/>
      <c r="F17" s="54"/>
      <c r="G17" s="54"/>
      <c r="H17" s="54"/>
      <c r="I17" s="54"/>
    </row>
    <row r="18" spans="2:3">
      <c r="B18" s="68"/>
      <c r="C18" s="68"/>
    </row>
    <row r="19" s="48" customFormat="1" ht="31.5" spans="2:11">
      <c r="B19" s="69" t="s">
        <v>114</v>
      </c>
      <c r="C19" s="70" t="s">
        <v>99</v>
      </c>
      <c r="D19" s="70" t="s">
        <v>100</v>
      </c>
      <c r="E19" s="69"/>
      <c r="F19" s="69"/>
      <c r="G19" s="69"/>
      <c r="H19" s="69"/>
      <c r="I19" s="69"/>
      <c r="J19" s="69"/>
      <c r="K19" s="69"/>
    </row>
    <row r="20" spans="2:11">
      <c r="B20" s="71"/>
      <c r="C20" s="72"/>
      <c r="D20" s="72"/>
      <c r="E20" s="73"/>
      <c r="F20" s="73"/>
      <c r="G20" s="73"/>
      <c r="H20" s="73"/>
      <c r="I20" s="73"/>
      <c r="J20" s="73"/>
      <c r="K20" s="73"/>
    </row>
    <row r="21" spans="2:11">
      <c r="B21" s="74" t="s">
        <v>101</v>
      </c>
      <c r="C21" s="74" t="s">
        <v>102</v>
      </c>
      <c r="D21" s="75" t="str">
        <f>DEC2HEX((2^29*B25)+(2^25*C25)+(2^21*D25)+(2^17*E25)+(2^12*F25)+(2^6*G25)+(2^3*H25)+(I25),8)</f>
        <v>13337834</v>
      </c>
      <c r="J21" s="52"/>
      <c r="K21" s="52"/>
    </row>
    <row r="22" spans="10:11">
      <c r="J22" s="52"/>
      <c r="K22" s="52"/>
    </row>
    <row r="23" spans="2:11">
      <c r="B23" s="73" t="s">
        <v>115</v>
      </c>
      <c r="C23" s="73" t="s">
        <v>116</v>
      </c>
      <c r="D23" s="73" t="s">
        <v>117</v>
      </c>
      <c r="E23" s="73" t="s">
        <v>118</v>
      </c>
      <c r="F23" s="73" t="s">
        <v>119</v>
      </c>
      <c r="G23" s="73" t="s">
        <v>120</v>
      </c>
      <c r="H23" s="73" t="s">
        <v>121</v>
      </c>
      <c r="I23" s="73" t="s">
        <v>122</v>
      </c>
      <c r="J23" s="73"/>
      <c r="K23" s="73"/>
    </row>
    <row r="24" spans="2:11">
      <c r="B24" s="52" t="s">
        <v>123</v>
      </c>
      <c r="C24" s="52" t="s">
        <v>39</v>
      </c>
      <c r="D24" s="52" t="s">
        <v>40</v>
      </c>
      <c r="E24" s="52" t="s">
        <v>41</v>
      </c>
      <c r="F24" s="52" t="s">
        <v>42</v>
      </c>
      <c r="G24" s="52" t="s">
        <v>43</v>
      </c>
      <c r="H24" s="52" t="s">
        <v>124</v>
      </c>
      <c r="I24" s="52" t="s">
        <v>45</v>
      </c>
      <c r="J24" s="73"/>
      <c r="K24" s="73"/>
    </row>
    <row r="25" spans="2:11">
      <c r="B25" s="76">
        <v>0</v>
      </c>
      <c r="C25" s="77">
        <f>Design_Parameters!E15</f>
        <v>9</v>
      </c>
      <c r="D25" s="77">
        <f>Design_Parameters!E16</f>
        <v>9</v>
      </c>
      <c r="E25" s="77">
        <f>Design_Parameters!E17</f>
        <v>9</v>
      </c>
      <c r="F25" s="77">
        <f>Design_Parameters!E18</f>
        <v>23</v>
      </c>
      <c r="G25" s="77">
        <f>Design_Parameters!E19</f>
        <v>32</v>
      </c>
      <c r="H25" s="77">
        <f>Design_Parameters!E20</f>
        <v>6</v>
      </c>
      <c r="I25" s="77">
        <f>Design_Parameters!E21</f>
        <v>4</v>
      </c>
      <c r="J25" s="52"/>
      <c r="K25" s="52"/>
    </row>
    <row r="26" spans="6:11">
      <c r="F26" s="78" t="str">
        <f>DEC2HEX(F25)</f>
        <v>17</v>
      </c>
      <c r="G26" s="78" t="str">
        <f>DEC2HEX(G25)</f>
        <v>20</v>
      </c>
      <c r="J26" s="85" t="s">
        <v>125</v>
      </c>
      <c r="K26" s="52"/>
    </row>
    <row r="27" spans="6:11">
      <c r="F27" s="78"/>
      <c r="G27" s="78"/>
      <c r="J27" s="85"/>
      <c r="K27" s="52"/>
    </row>
    <row r="28" spans="10:11">
      <c r="J28" s="52"/>
      <c r="K28" s="52"/>
    </row>
    <row r="29" s="48" customFormat="1" ht="31.5" spans="2:11">
      <c r="B29" s="69" t="s">
        <v>126</v>
      </c>
      <c r="C29" s="70" t="s">
        <v>99</v>
      </c>
      <c r="D29" s="70" t="s">
        <v>100</v>
      </c>
      <c r="E29" s="69"/>
      <c r="F29" s="69"/>
      <c r="G29" s="69"/>
      <c r="H29" s="69"/>
      <c r="I29" s="69"/>
      <c r="J29" s="69"/>
      <c r="K29" s="69"/>
    </row>
    <row r="30" spans="2:11">
      <c r="B30" s="71"/>
      <c r="C30" s="72"/>
      <c r="D30" s="72"/>
      <c r="E30" s="73"/>
      <c r="F30" s="73"/>
      <c r="G30" s="73"/>
      <c r="H30" s="73"/>
      <c r="I30" s="73"/>
      <c r="J30" s="73"/>
      <c r="K30" s="73"/>
    </row>
    <row r="31" spans="2:11">
      <c r="B31" s="74" t="s">
        <v>103</v>
      </c>
      <c r="C31" s="74" t="s">
        <v>104</v>
      </c>
      <c r="D31" s="75" t="str">
        <f>DEC2HEX((2^31*B35)+(2^28*C35)+(2^25*D35)+(2^16*E35)+(2^6*F35)+(2^3*G35)+(H35),8)</f>
        <v>30B37FE3</v>
      </c>
      <c r="J31" s="52"/>
      <c r="K31" s="52"/>
    </row>
    <row r="32" spans="10:11">
      <c r="J32" s="52"/>
      <c r="K32" s="52"/>
    </row>
    <row r="33" spans="2:11">
      <c r="B33" s="73" t="s">
        <v>127</v>
      </c>
      <c r="C33" s="73" t="s">
        <v>128</v>
      </c>
      <c r="D33" s="73" t="s">
        <v>129</v>
      </c>
      <c r="E33" s="73" t="s">
        <v>130</v>
      </c>
      <c r="F33" s="73" t="s">
        <v>131</v>
      </c>
      <c r="G33" s="73" t="s">
        <v>121</v>
      </c>
      <c r="H33" s="73" t="s">
        <v>122</v>
      </c>
      <c r="I33" s="73"/>
      <c r="J33" s="73"/>
      <c r="K33" s="73"/>
    </row>
    <row r="34" spans="2:11">
      <c r="B34" s="52" t="s">
        <v>123</v>
      </c>
      <c r="C34" s="52" t="s">
        <v>47</v>
      </c>
      <c r="D34" s="52" t="s">
        <v>123</v>
      </c>
      <c r="E34" s="52" t="s">
        <v>132</v>
      </c>
      <c r="F34" s="52" t="s">
        <v>133</v>
      </c>
      <c r="G34" s="52" t="s">
        <v>51</v>
      </c>
      <c r="H34" s="52" t="s">
        <v>52</v>
      </c>
      <c r="I34" s="73"/>
      <c r="J34" s="73"/>
      <c r="K34" s="73"/>
    </row>
    <row r="35" spans="2:11">
      <c r="B35" s="76">
        <v>0</v>
      </c>
      <c r="C35" s="77">
        <f>Design_Parameters!E24</f>
        <v>3</v>
      </c>
      <c r="D35" s="76">
        <v>0</v>
      </c>
      <c r="E35" s="79">
        <f>Design_Parameters!E25</f>
        <v>179</v>
      </c>
      <c r="F35" s="79">
        <f>Design_Parameters!E26</f>
        <v>511</v>
      </c>
      <c r="G35" s="77">
        <f>Design_Parameters!E27</f>
        <v>4</v>
      </c>
      <c r="H35" s="77">
        <f>Design_Parameters!E28</f>
        <v>3</v>
      </c>
      <c r="J35" s="52"/>
      <c r="K35" s="52"/>
    </row>
    <row r="36" spans="5:11">
      <c r="E36" s="78" t="str">
        <f>DEC2HEX(E35)</f>
        <v>B3</v>
      </c>
      <c r="F36" s="78" t="str">
        <f>DEC2HEX(F35)</f>
        <v>1FF</v>
      </c>
      <c r="I36" s="85" t="s">
        <v>125</v>
      </c>
      <c r="J36" s="52"/>
      <c r="K36" s="52"/>
    </row>
    <row r="37" spans="5:11">
      <c r="E37" s="78"/>
      <c r="F37" s="78"/>
      <c r="I37" s="85"/>
      <c r="J37" s="52"/>
      <c r="K37" s="52"/>
    </row>
    <row r="38" spans="10:11">
      <c r="J38" s="52"/>
      <c r="K38" s="52"/>
    </row>
    <row r="39" s="48" customFormat="1" ht="31.5" spans="2:11">
      <c r="B39" s="69" t="s">
        <v>134</v>
      </c>
      <c r="C39" s="70" t="s">
        <v>99</v>
      </c>
      <c r="D39" s="70" t="s">
        <v>100</v>
      </c>
      <c r="E39" s="69"/>
      <c r="F39" s="69"/>
      <c r="G39" s="69"/>
      <c r="H39" s="69"/>
      <c r="I39" s="69"/>
      <c r="J39" s="69"/>
      <c r="K39" s="69"/>
    </row>
    <row r="40" spans="2:11">
      <c r="B40" s="71"/>
      <c r="C40" s="72"/>
      <c r="D40" s="72"/>
      <c r="E40" s="73"/>
      <c r="F40" s="73"/>
      <c r="G40" s="73"/>
      <c r="H40" s="73"/>
      <c r="I40" s="73"/>
      <c r="J40" s="73"/>
      <c r="K40" s="73"/>
    </row>
    <row r="41" spans="2:11">
      <c r="B41" s="74" t="s">
        <v>105</v>
      </c>
      <c r="C41" s="74" t="s">
        <v>106</v>
      </c>
      <c r="D41" s="75" t="str">
        <f>DEC2HEX((2^28*B45)+(2^24*C45)+(2^21*D45)+(2^15*E45)+(2^13*F45)+(2^4*G45)+(H45),8)</f>
        <v>559F8ADF</v>
      </c>
      <c r="J41" s="52"/>
      <c r="K41" s="52"/>
    </row>
    <row r="42" spans="10:11">
      <c r="J42" s="52"/>
      <c r="K42" s="52"/>
    </row>
    <row r="43" spans="2:11">
      <c r="B43" s="73" t="s">
        <v>135</v>
      </c>
      <c r="C43" s="73" t="s">
        <v>136</v>
      </c>
      <c r="D43" s="73" t="s">
        <v>137</v>
      </c>
      <c r="E43" s="73" t="s">
        <v>138</v>
      </c>
      <c r="F43" s="73" t="s">
        <v>139</v>
      </c>
      <c r="G43" s="73" t="s">
        <v>140</v>
      </c>
      <c r="H43" s="73" t="s">
        <v>141</v>
      </c>
      <c r="I43" s="73"/>
      <c r="J43" s="73"/>
      <c r="K43" s="73"/>
    </row>
    <row r="44" spans="2:11">
      <c r="B44" s="52" t="s">
        <v>142</v>
      </c>
      <c r="C44" s="52" t="s">
        <v>143</v>
      </c>
      <c r="D44" s="52" t="s">
        <v>54</v>
      </c>
      <c r="E44" s="52" t="s">
        <v>144</v>
      </c>
      <c r="F44" s="52" t="s">
        <v>123</v>
      </c>
      <c r="G44" s="52" t="s">
        <v>56</v>
      </c>
      <c r="H44" s="52" t="s">
        <v>145</v>
      </c>
      <c r="I44" s="73"/>
      <c r="J44" s="73"/>
      <c r="K44" s="73"/>
    </row>
    <row r="45" spans="2:11">
      <c r="B45" s="76">
        <v>5</v>
      </c>
      <c r="C45" s="76">
        <v>5</v>
      </c>
      <c r="D45" s="77">
        <f>Design_Parameters!E31</f>
        <v>4</v>
      </c>
      <c r="E45" s="77">
        <f>Design_Parameters!E32</f>
        <v>63</v>
      </c>
      <c r="F45" s="76">
        <v>0</v>
      </c>
      <c r="G45" s="77">
        <f>Design_Parameters!E33</f>
        <v>173</v>
      </c>
      <c r="H45" s="80">
        <v>15</v>
      </c>
      <c r="J45" s="52"/>
      <c r="K45" s="52"/>
    </row>
    <row r="46" s="47" customFormat="1" spans="2:11">
      <c r="B46" s="54"/>
      <c r="C46" s="54"/>
      <c r="D46" s="54"/>
      <c r="E46" s="78" t="str">
        <f t="shared" ref="E46:H46" si="0">DEC2HEX(E45)</f>
        <v>3F</v>
      </c>
      <c r="F46" s="54"/>
      <c r="G46" s="78" t="str">
        <f t="shared" si="0"/>
        <v>AD</v>
      </c>
      <c r="H46" s="78" t="str">
        <f t="shared" si="0"/>
        <v>F</v>
      </c>
      <c r="I46" s="85" t="s">
        <v>125</v>
      </c>
      <c r="J46" s="54"/>
      <c r="K46" s="54"/>
    </row>
    <row r="47" s="47" customFormat="1" spans="2:11">
      <c r="B47" s="54"/>
      <c r="C47" s="54"/>
      <c r="D47" s="54"/>
      <c r="E47" s="78"/>
      <c r="F47" s="54"/>
      <c r="G47" s="78"/>
      <c r="H47" s="78"/>
      <c r="I47" s="85"/>
      <c r="J47" s="54"/>
      <c r="K47" s="54"/>
    </row>
    <row r="49" s="48" customFormat="1" ht="31.5" spans="2:9">
      <c r="B49" s="70" t="s">
        <v>146</v>
      </c>
      <c r="C49" s="70" t="s">
        <v>99</v>
      </c>
      <c r="D49" s="70" t="s">
        <v>100</v>
      </c>
      <c r="E49" s="70"/>
      <c r="F49" s="70"/>
      <c r="G49" s="70"/>
      <c r="H49" s="70"/>
      <c r="I49" s="70"/>
    </row>
    <row r="50" spans="2:9">
      <c r="B50" s="81"/>
      <c r="C50" s="72"/>
      <c r="D50" s="72"/>
      <c r="E50" s="72"/>
      <c r="F50" s="72"/>
      <c r="G50" s="72"/>
      <c r="H50" s="72"/>
      <c r="I50" s="72"/>
    </row>
    <row r="51" spans="2:9">
      <c r="B51" s="75" t="s">
        <v>107</v>
      </c>
      <c r="C51" s="75" t="s">
        <v>108</v>
      </c>
      <c r="D51" s="75" t="str">
        <f>DEC2HEX((2^29*B55)+(2^27*C55)+(2^24*D55)+(2^23*E55)+(2^21*F55)+(2^20*G55)+(2^18*H55)+(2^16*I55)+(2^14*B58)+(2^10*C58)+(2^7*D58)+(2^4*E58)+(2^3*F58)+G58,8)</f>
        <v>63077B33</v>
      </c>
      <c r="E51" s="72"/>
      <c r="F51" s="72"/>
      <c r="G51" s="72"/>
      <c r="H51" s="72"/>
      <c r="I51" s="72"/>
    </row>
    <row r="52" spans="2:9">
      <c r="B52" s="72"/>
      <c r="C52" s="72"/>
      <c r="D52" s="72"/>
      <c r="E52" s="72"/>
      <c r="F52" s="72"/>
      <c r="G52" s="72"/>
      <c r="H52" s="72"/>
      <c r="I52" s="72"/>
    </row>
    <row r="53" spans="2:9">
      <c r="B53" s="82" t="s">
        <v>115</v>
      </c>
      <c r="C53" s="82" t="s">
        <v>147</v>
      </c>
      <c r="D53" s="82" t="s">
        <v>148</v>
      </c>
      <c r="E53" s="82" t="s">
        <v>149</v>
      </c>
      <c r="F53" s="82" t="s">
        <v>150</v>
      </c>
      <c r="G53" s="82" t="s">
        <v>151</v>
      </c>
      <c r="H53" s="82" t="s">
        <v>152</v>
      </c>
      <c r="I53" s="82" t="s">
        <v>153</v>
      </c>
    </row>
    <row r="54" spans="2:9">
      <c r="B54" s="72" t="s">
        <v>154</v>
      </c>
      <c r="C54" s="72" t="s">
        <v>60</v>
      </c>
      <c r="D54" s="72" t="s">
        <v>62</v>
      </c>
      <c r="E54" s="72" t="s">
        <v>123</v>
      </c>
      <c r="F54" s="72" t="s">
        <v>64</v>
      </c>
      <c r="G54" s="72" t="s">
        <v>123</v>
      </c>
      <c r="H54" s="72" t="s">
        <v>66</v>
      </c>
      <c r="I54" s="72" t="s">
        <v>68</v>
      </c>
    </row>
    <row r="55" spans="2:9">
      <c r="B55" s="83">
        <v>3</v>
      </c>
      <c r="C55" s="84">
        <f>Design_Parameters!E39</f>
        <v>0</v>
      </c>
      <c r="D55" s="84">
        <f>Design_Parameters!E40</f>
        <v>3</v>
      </c>
      <c r="E55" s="83">
        <v>0</v>
      </c>
      <c r="F55" s="84">
        <f>Design_Parameters!E41</f>
        <v>0</v>
      </c>
      <c r="G55" s="83">
        <v>0</v>
      </c>
      <c r="H55" s="84">
        <f>Design_Parameters!E42</f>
        <v>1</v>
      </c>
      <c r="I55" s="84">
        <f>Design_Parameters!E43</f>
        <v>3</v>
      </c>
    </row>
    <row r="56" spans="2:11">
      <c r="B56" s="82" t="s">
        <v>155</v>
      </c>
      <c r="C56" s="82" t="s">
        <v>156</v>
      </c>
      <c r="D56" s="82" t="s">
        <v>157</v>
      </c>
      <c r="E56" s="82" t="s">
        <v>158</v>
      </c>
      <c r="F56" s="82" t="s">
        <v>159</v>
      </c>
      <c r="G56" s="82" t="s">
        <v>122</v>
      </c>
      <c r="H56" s="72"/>
      <c r="I56" s="82"/>
      <c r="J56" s="73"/>
      <c r="K56" s="73"/>
    </row>
    <row r="57" spans="2:11">
      <c r="B57" s="72" t="s">
        <v>70</v>
      </c>
      <c r="C57" s="72" t="s">
        <v>72</v>
      </c>
      <c r="D57" s="72" t="s">
        <v>74</v>
      </c>
      <c r="E57" s="72" t="s">
        <v>76</v>
      </c>
      <c r="F57" s="72" t="s">
        <v>78</v>
      </c>
      <c r="G57" s="72" t="s">
        <v>80</v>
      </c>
      <c r="H57" s="72"/>
      <c r="I57" s="72"/>
      <c r="J57" s="52"/>
      <c r="K57" s="52"/>
    </row>
    <row r="58" spans="2:11">
      <c r="B58" s="84">
        <f>Design_Parameters!E44</f>
        <v>1</v>
      </c>
      <c r="C58" s="84">
        <f>Design_Parameters!E45</f>
        <v>14</v>
      </c>
      <c r="D58" s="84">
        <f>Design_Parameters!E46</f>
        <v>6</v>
      </c>
      <c r="E58" s="84">
        <f>Design_Parameters!E47</f>
        <v>3</v>
      </c>
      <c r="F58" s="84">
        <f>Design_Parameters!E48</f>
        <v>0</v>
      </c>
      <c r="G58" s="84">
        <f>Design_Parameters!E49</f>
        <v>3</v>
      </c>
      <c r="H58" s="72"/>
      <c r="I58" s="72"/>
      <c r="J58" s="52"/>
      <c r="K58" s="52"/>
    </row>
    <row r="59" spans="3:8">
      <c r="C59" s="78" t="str">
        <f>DEC2HEX(C58)</f>
        <v>E</v>
      </c>
      <c r="H59" s="85" t="s">
        <v>125</v>
      </c>
    </row>
    <row r="61" s="49" customFormat="1" ht="14.25" spans="2:9">
      <c r="B61" s="86"/>
      <c r="C61" s="86"/>
      <c r="D61" s="86"/>
      <c r="E61" s="86"/>
      <c r="F61" s="86"/>
      <c r="G61" s="86"/>
      <c r="H61" s="86"/>
      <c r="I61" s="86"/>
    </row>
    <row r="62" s="49" customFormat="1" ht="28.5" spans="2:9">
      <c r="B62" s="87" t="s">
        <v>160</v>
      </c>
      <c r="C62" s="88" t="s">
        <v>99</v>
      </c>
      <c r="D62" s="87" t="s">
        <v>161</v>
      </c>
      <c r="E62" s="87" t="s">
        <v>162</v>
      </c>
      <c r="F62" s="87" t="s">
        <v>163</v>
      </c>
      <c r="G62" s="89"/>
      <c r="H62" s="89"/>
      <c r="I62" s="89"/>
    </row>
    <row r="63" s="49" customFormat="1" ht="14.25" spans="2:9">
      <c r="B63" s="90"/>
      <c r="C63" s="88"/>
      <c r="D63" s="88"/>
      <c r="E63" s="89"/>
      <c r="F63" s="89"/>
      <c r="G63" s="89"/>
      <c r="H63" s="89"/>
      <c r="I63" s="89"/>
    </row>
    <row r="64" s="49" customFormat="1" spans="2:9">
      <c r="B64" s="91" t="s">
        <v>164</v>
      </c>
      <c r="C64" s="91" t="s">
        <v>110</v>
      </c>
      <c r="D64" s="75" t="str">
        <f>DEC2HEX((2^31*B68)+(2^29*D68)+(2^28*E68)+(2^24*G68)+I68,8)</f>
        <v>00001458</v>
      </c>
      <c r="E64" s="88" t="str">
        <f>DEC2HEX((2^31*B71)+(2^29*D71)+(2^28*E71)+(2^24*G71)+I71,8)</f>
        <v>00000A2C</v>
      </c>
      <c r="F64" s="88" t="str">
        <f>DEC2HEX((2^31*B74)+(2^29*D74)+(2^28*E74)+(2^24*G74)+I74,8)</f>
        <v>00005161</v>
      </c>
      <c r="G64" s="89"/>
      <c r="H64" s="89"/>
      <c r="I64" s="89"/>
    </row>
    <row r="65" s="49" customFormat="1" spans="2:9">
      <c r="B65" s="91"/>
      <c r="C65" s="91"/>
      <c r="D65" s="75"/>
      <c r="E65" s="89"/>
      <c r="F65" s="78"/>
      <c r="G65" s="78"/>
      <c r="H65" s="78"/>
      <c r="I65" s="78"/>
    </row>
    <row r="66" s="49" customFormat="1" ht="14.25" spans="2:9">
      <c r="B66" s="92" t="s">
        <v>127</v>
      </c>
      <c r="C66" s="92" t="s">
        <v>165</v>
      </c>
      <c r="D66" s="92" t="s">
        <v>166</v>
      </c>
      <c r="E66" s="92" t="s">
        <v>167</v>
      </c>
      <c r="F66" s="92" t="s">
        <v>168</v>
      </c>
      <c r="G66" s="92" t="s">
        <v>148</v>
      </c>
      <c r="H66" s="92" t="s">
        <v>169</v>
      </c>
      <c r="I66" s="92" t="s">
        <v>170</v>
      </c>
    </row>
    <row r="67" s="49" customFormat="1" ht="14.25" spans="2:9">
      <c r="B67" s="89" t="s">
        <v>85</v>
      </c>
      <c r="C67" s="89" t="s">
        <v>123</v>
      </c>
      <c r="D67" s="89" t="s">
        <v>87</v>
      </c>
      <c r="E67" s="89" t="s">
        <v>89</v>
      </c>
      <c r="F67" s="89" t="s">
        <v>123</v>
      </c>
      <c r="G67" s="89" t="s">
        <v>91</v>
      </c>
      <c r="H67" s="89" t="s">
        <v>123</v>
      </c>
      <c r="I67" s="89" t="s">
        <v>171</v>
      </c>
    </row>
    <row r="68" s="49" customFormat="1" ht="14.25" spans="2:9">
      <c r="B68" s="93">
        <f>Design_Parameters!E$55</f>
        <v>0</v>
      </c>
      <c r="C68" s="94">
        <v>0</v>
      </c>
      <c r="D68" s="93">
        <f>Design_Parameters!E$56</f>
        <v>0</v>
      </c>
      <c r="E68" s="93">
        <f>Design_Parameters!E$57</f>
        <v>0</v>
      </c>
      <c r="F68" s="94">
        <v>0</v>
      </c>
      <c r="G68" s="93">
        <f>Design_Parameters!E$58</f>
        <v>0</v>
      </c>
      <c r="H68" s="94">
        <v>0</v>
      </c>
      <c r="I68" s="93">
        <f>Design_Parameters!E59</f>
        <v>5208</v>
      </c>
    </row>
    <row r="69" s="50" customFormat="1" ht="14.25" spans="2:10">
      <c r="B69" s="78"/>
      <c r="C69" s="78"/>
      <c r="D69" s="78"/>
      <c r="E69" s="78"/>
      <c r="F69" s="78"/>
      <c r="G69" s="78"/>
      <c r="H69" s="78"/>
      <c r="I69" s="78" t="str">
        <f>DEC2HEX(I68,4)</f>
        <v>1458</v>
      </c>
      <c r="J69" s="50" t="s">
        <v>125</v>
      </c>
    </row>
    <row r="70" s="50" customFormat="1" ht="14.25" spans="2:9">
      <c r="B70" s="78"/>
      <c r="C70" s="78"/>
      <c r="D70" s="78"/>
      <c r="E70" s="78"/>
      <c r="F70" s="78"/>
      <c r="G70" s="78"/>
      <c r="H70" s="78"/>
      <c r="I70" s="78"/>
    </row>
    <row r="71" s="49" customFormat="1" ht="14.25" spans="2:9">
      <c r="B71" s="93">
        <f>Design_Parameters!E$55</f>
        <v>0</v>
      </c>
      <c r="C71" s="94">
        <v>0</v>
      </c>
      <c r="D71" s="93">
        <f>Design_Parameters!E$56</f>
        <v>0</v>
      </c>
      <c r="E71" s="93">
        <f>Design_Parameters!E$57</f>
        <v>0</v>
      </c>
      <c r="F71" s="94">
        <v>0</v>
      </c>
      <c r="G71" s="93">
        <f>Design_Parameters!E$58</f>
        <v>0</v>
      </c>
      <c r="H71" s="94">
        <v>0</v>
      </c>
      <c r="I71" s="93">
        <f>Design_Parameters!E60</f>
        <v>2604</v>
      </c>
    </row>
    <row r="72" s="50" customFormat="1" ht="14.25" spans="2:10">
      <c r="B72" s="78"/>
      <c r="C72" s="78"/>
      <c r="D72" s="78"/>
      <c r="E72" s="78"/>
      <c r="F72" s="78"/>
      <c r="G72" s="78"/>
      <c r="H72" s="78"/>
      <c r="I72" s="78" t="str">
        <f>DEC2HEX(I71,4)</f>
        <v>0A2C</v>
      </c>
      <c r="J72" s="50" t="s">
        <v>125</v>
      </c>
    </row>
    <row r="73" s="50" customFormat="1" ht="14.25" spans="2:9">
      <c r="B73" s="78"/>
      <c r="C73" s="78"/>
      <c r="D73" s="78"/>
      <c r="E73" s="78"/>
      <c r="F73" s="78"/>
      <c r="G73" s="78"/>
      <c r="H73" s="78"/>
      <c r="I73" s="78"/>
    </row>
    <row r="74" s="49" customFormat="1" ht="14.25" spans="2:9">
      <c r="B74" s="93">
        <f>Design_Parameters!E$55</f>
        <v>0</v>
      </c>
      <c r="C74" s="94">
        <v>0</v>
      </c>
      <c r="D74" s="93">
        <f>Design_Parameters!E$56</f>
        <v>0</v>
      </c>
      <c r="E74" s="93">
        <f>Design_Parameters!E$57</f>
        <v>0</v>
      </c>
      <c r="F74" s="94">
        <v>0</v>
      </c>
      <c r="G74" s="93">
        <f>Design_Parameters!E$58</f>
        <v>0</v>
      </c>
      <c r="H74" s="94">
        <v>0</v>
      </c>
      <c r="I74" s="93">
        <f>Design_Parameters!E61</f>
        <v>20833</v>
      </c>
    </row>
    <row r="75" s="49" customFormat="1" ht="14.25" spans="2:10">
      <c r="B75" s="86"/>
      <c r="C75" s="86"/>
      <c r="D75" s="86"/>
      <c r="E75" s="86"/>
      <c r="F75" s="86"/>
      <c r="G75" s="86"/>
      <c r="H75" s="86"/>
      <c r="I75" s="78" t="str">
        <f>DEC2HEX(I74,4)</f>
        <v>5161</v>
      </c>
      <c r="J75" s="50" t="s">
        <v>125</v>
      </c>
    </row>
    <row r="79" spans="2:2">
      <c r="B79" s="95" t="s">
        <v>15</v>
      </c>
    </row>
  </sheetData>
  <pageMargins left="0.699305555555556" right="0.699305555555556" top="0.75" bottom="0.75" header="0.3" footer="0.3"/>
  <pageSetup paperSize="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AI39"/>
  <sheetViews>
    <sheetView zoomScale="90" zoomScaleNormal="90" workbookViewId="0">
      <pane xSplit="2" ySplit="2" topLeftCell="Y30" activePane="bottomRight" state="frozen"/>
      <selection/>
      <selection pane="topRight"/>
      <selection pane="bottomLeft"/>
      <selection pane="bottomRight" activeCell="AG19" sqref="AG19"/>
    </sheetView>
  </sheetViews>
  <sheetFormatPr defaultColWidth="9" defaultRowHeight="13.5"/>
  <cols>
    <col min="1" max="1" width="3.56666666666667" style="13" customWidth="1"/>
    <col min="2" max="32" width="14.7083333333333" style="13" customWidth="1"/>
    <col min="33" max="33" width="13.7083333333333" style="14" customWidth="1"/>
    <col min="34" max="16384" width="9.14166666666667" style="13"/>
  </cols>
  <sheetData>
    <row r="1" ht="14.25"/>
    <row r="2" s="11" customFormat="1" ht="32.25" customHeight="1" spans="2:35">
      <c r="B2" s="15" t="s">
        <v>172</v>
      </c>
      <c r="C2" s="16" t="s">
        <v>173</v>
      </c>
      <c r="D2" s="16" t="s">
        <v>174</v>
      </c>
      <c r="E2" s="16" t="s">
        <v>175</v>
      </c>
      <c r="F2" s="16" t="s">
        <v>176</v>
      </c>
      <c r="G2" s="16" t="s">
        <v>177</v>
      </c>
      <c r="H2" s="16" t="s">
        <v>178</v>
      </c>
      <c r="I2" s="16" t="s">
        <v>179</v>
      </c>
      <c r="J2" s="16" t="s">
        <v>180</v>
      </c>
      <c r="K2" s="16" t="s">
        <v>181</v>
      </c>
      <c r="L2" s="29" t="s">
        <v>182</v>
      </c>
      <c r="M2" s="29" t="s">
        <v>183</v>
      </c>
      <c r="N2" s="29" t="s">
        <v>184</v>
      </c>
      <c r="O2" s="29" t="s">
        <v>185</v>
      </c>
      <c r="P2" s="29" t="s">
        <v>186</v>
      </c>
      <c r="Q2" s="29" t="s">
        <v>187</v>
      </c>
      <c r="R2" s="29" t="s">
        <v>188</v>
      </c>
      <c r="S2" s="29" t="s">
        <v>189</v>
      </c>
      <c r="T2" s="29" t="s">
        <v>190</v>
      </c>
      <c r="U2" s="16" t="s">
        <v>191</v>
      </c>
      <c r="V2" s="16" t="s">
        <v>192</v>
      </c>
      <c r="W2" s="16" t="s">
        <v>193</v>
      </c>
      <c r="X2" s="16" t="s">
        <v>194</v>
      </c>
      <c r="Y2" s="16" t="s">
        <v>195</v>
      </c>
      <c r="Z2" s="16" t="s">
        <v>196</v>
      </c>
      <c r="AA2" s="29" t="s">
        <v>197</v>
      </c>
      <c r="AB2" s="29" t="s">
        <v>198</v>
      </c>
      <c r="AC2" s="29" t="s">
        <v>199</v>
      </c>
      <c r="AD2" s="29" t="s">
        <v>200</v>
      </c>
      <c r="AE2" s="29" t="s">
        <v>201</v>
      </c>
      <c r="AF2" s="29" t="s">
        <v>202</v>
      </c>
      <c r="AG2" s="34" t="s">
        <v>33</v>
      </c>
      <c r="AH2" s="35"/>
      <c r="AI2" s="36"/>
    </row>
    <row r="3" s="12" customFormat="1" ht="15.75" customHeight="1" spans="2:35">
      <c r="B3" s="17" t="s">
        <v>39</v>
      </c>
      <c r="C3" s="18">
        <v>15</v>
      </c>
      <c r="D3" s="18">
        <v>13.125</v>
      </c>
      <c r="E3" s="18">
        <v>13.5</v>
      </c>
      <c r="F3" s="18">
        <v>15</v>
      </c>
      <c r="G3" s="18">
        <v>13.125</v>
      </c>
      <c r="H3" s="18">
        <v>13.5</v>
      </c>
      <c r="I3" s="18">
        <v>15</v>
      </c>
      <c r="J3" s="18">
        <v>13.125</v>
      </c>
      <c r="K3" s="18">
        <v>13.5</v>
      </c>
      <c r="L3" s="30">
        <v>15</v>
      </c>
      <c r="M3" s="30">
        <v>13.125</v>
      </c>
      <c r="N3" s="30">
        <v>13.5</v>
      </c>
      <c r="O3" s="30">
        <v>15</v>
      </c>
      <c r="P3" s="30">
        <v>13.125</v>
      </c>
      <c r="Q3" s="30">
        <v>13.5</v>
      </c>
      <c r="R3" s="30">
        <v>15</v>
      </c>
      <c r="S3" s="30">
        <v>13.125</v>
      </c>
      <c r="T3" s="30">
        <v>13.5</v>
      </c>
      <c r="U3" s="18">
        <v>13.125</v>
      </c>
      <c r="V3" s="18">
        <v>13.5</v>
      </c>
      <c r="W3" s="18">
        <v>13.125</v>
      </c>
      <c r="X3" s="18">
        <v>13.5</v>
      </c>
      <c r="Y3" s="18">
        <v>13.125</v>
      </c>
      <c r="Z3" s="18">
        <v>13.5</v>
      </c>
      <c r="AA3" s="30">
        <v>13.125</v>
      </c>
      <c r="AB3" s="30">
        <v>13.5</v>
      </c>
      <c r="AC3" s="30">
        <v>13.125</v>
      </c>
      <c r="AD3" s="30">
        <v>13.5</v>
      </c>
      <c r="AE3" s="30">
        <v>13.125</v>
      </c>
      <c r="AF3" s="30">
        <v>13.5</v>
      </c>
      <c r="AG3" s="37">
        <v>13.75</v>
      </c>
      <c r="AH3" s="38" t="s">
        <v>31</v>
      </c>
      <c r="AI3" s="39"/>
    </row>
    <row r="4" s="12" customFormat="1" ht="15.75" customHeight="1" spans="2:35">
      <c r="B4" s="19"/>
      <c r="C4" s="20"/>
      <c r="D4" s="20"/>
      <c r="E4" s="20"/>
      <c r="F4" s="20"/>
      <c r="G4" s="20"/>
      <c r="H4" s="20"/>
      <c r="I4" s="20"/>
      <c r="J4" s="20"/>
      <c r="K4" s="20"/>
      <c r="L4" s="31"/>
      <c r="M4" s="31"/>
      <c r="N4" s="31"/>
      <c r="O4" s="31"/>
      <c r="P4" s="31"/>
      <c r="Q4" s="31"/>
      <c r="R4" s="31"/>
      <c r="S4" s="31"/>
      <c r="T4" s="31"/>
      <c r="U4" s="20"/>
      <c r="V4" s="20"/>
      <c r="W4" s="20"/>
      <c r="X4" s="20"/>
      <c r="Y4" s="20"/>
      <c r="Z4" s="20"/>
      <c r="AA4" s="31"/>
      <c r="AB4" s="31"/>
      <c r="AC4" s="31"/>
      <c r="AD4" s="31"/>
      <c r="AE4" s="31"/>
      <c r="AF4" s="31"/>
      <c r="AG4" s="40"/>
      <c r="AH4" s="41"/>
      <c r="AI4" s="39"/>
    </row>
    <row r="5" s="12" customFormat="1" ht="15.75" customHeight="1" spans="2:35">
      <c r="B5" s="17" t="s">
        <v>40</v>
      </c>
      <c r="C5" s="18">
        <v>15</v>
      </c>
      <c r="D5" s="18">
        <v>13.125</v>
      </c>
      <c r="E5" s="18">
        <v>13.5</v>
      </c>
      <c r="F5" s="18">
        <v>15</v>
      </c>
      <c r="G5" s="18">
        <v>13.125</v>
      </c>
      <c r="H5" s="18">
        <v>13.5</v>
      </c>
      <c r="I5" s="18">
        <v>15</v>
      </c>
      <c r="J5" s="18">
        <v>13.125</v>
      </c>
      <c r="K5" s="18">
        <v>13.5</v>
      </c>
      <c r="L5" s="30">
        <v>15</v>
      </c>
      <c r="M5" s="30">
        <v>13.125</v>
      </c>
      <c r="N5" s="30">
        <v>13.5</v>
      </c>
      <c r="O5" s="30">
        <v>15</v>
      </c>
      <c r="P5" s="30">
        <v>13.125</v>
      </c>
      <c r="Q5" s="30">
        <v>13.5</v>
      </c>
      <c r="R5" s="30">
        <v>15</v>
      </c>
      <c r="S5" s="30">
        <v>13.125</v>
      </c>
      <c r="T5" s="30">
        <v>13.5</v>
      </c>
      <c r="U5" s="18">
        <v>13.125</v>
      </c>
      <c r="V5" s="18">
        <v>13.5</v>
      </c>
      <c r="W5" s="18">
        <v>13.125</v>
      </c>
      <c r="X5" s="18">
        <v>13.5</v>
      </c>
      <c r="Y5" s="18">
        <v>13.125</v>
      </c>
      <c r="Z5" s="18">
        <v>13.5</v>
      </c>
      <c r="AA5" s="30">
        <v>13.125</v>
      </c>
      <c r="AB5" s="30">
        <v>13.5</v>
      </c>
      <c r="AC5" s="30">
        <v>13.125</v>
      </c>
      <c r="AD5" s="30">
        <v>13.5</v>
      </c>
      <c r="AE5" s="30">
        <v>13.125</v>
      </c>
      <c r="AF5" s="30">
        <v>13.5</v>
      </c>
      <c r="AG5" s="37">
        <v>13.75</v>
      </c>
      <c r="AH5" s="38" t="s">
        <v>31</v>
      </c>
      <c r="AI5" s="39"/>
    </row>
    <row r="6" s="12" customFormat="1" ht="15.75" customHeight="1" spans="2:35">
      <c r="B6" s="19"/>
      <c r="C6" s="20"/>
      <c r="D6" s="20"/>
      <c r="E6" s="20"/>
      <c r="F6" s="20"/>
      <c r="G6" s="20"/>
      <c r="H6" s="20"/>
      <c r="I6" s="20"/>
      <c r="J6" s="20"/>
      <c r="K6" s="20"/>
      <c r="L6" s="31"/>
      <c r="M6" s="31"/>
      <c r="N6" s="31"/>
      <c r="O6" s="31"/>
      <c r="P6" s="31"/>
      <c r="Q6" s="31"/>
      <c r="R6" s="31"/>
      <c r="S6" s="31"/>
      <c r="T6" s="31"/>
      <c r="U6" s="20"/>
      <c r="V6" s="20"/>
      <c r="W6" s="20"/>
      <c r="X6" s="20"/>
      <c r="Y6" s="20"/>
      <c r="Z6" s="20"/>
      <c r="AA6" s="31"/>
      <c r="AB6" s="31"/>
      <c r="AC6" s="31"/>
      <c r="AD6" s="31"/>
      <c r="AE6" s="31"/>
      <c r="AF6" s="31"/>
      <c r="AG6" s="40"/>
      <c r="AH6" s="41"/>
      <c r="AI6" s="39"/>
    </row>
    <row r="7" s="12" customFormat="1" ht="15.75" customHeight="1" spans="2:35">
      <c r="B7" s="17" t="s">
        <v>41</v>
      </c>
      <c r="C7" s="18">
        <v>15</v>
      </c>
      <c r="D7" s="18">
        <v>15</v>
      </c>
      <c r="E7" s="18">
        <v>15</v>
      </c>
      <c r="F7" s="18">
        <v>15</v>
      </c>
      <c r="G7" s="18">
        <v>15</v>
      </c>
      <c r="H7" s="18">
        <v>15</v>
      </c>
      <c r="I7" s="18">
        <v>15</v>
      </c>
      <c r="J7" s="18">
        <v>15</v>
      </c>
      <c r="K7" s="18">
        <v>15</v>
      </c>
      <c r="L7" s="30">
        <v>15</v>
      </c>
      <c r="M7" s="30">
        <v>15</v>
      </c>
      <c r="N7" s="30">
        <v>15</v>
      </c>
      <c r="O7" s="30">
        <v>15</v>
      </c>
      <c r="P7" s="30">
        <v>15</v>
      </c>
      <c r="Q7" s="30">
        <v>15</v>
      </c>
      <c r="R7" s="30">
        <v>15</v>
      </c>
      <c r="S7" s="30">
        <v>15</v>
      </c>
      <c r="T7" s="30">
        <v>15</v>
      </c>
      <c r="U7" s="18">
        <v>15</v>
      </c>
      <c r="V7" s="18">
        <v>15</v>
      </c>
      <c r="W7" s="18">
        <v>15</v>
      </c>
      <c r="X7" s="18">
        <v>15</v>
      </c>
      <c r="Y7" s="18">
        <v>15</v>
      </c>
      <c r="Z7" s="18">
        <v>15</v>
      </c>
      <c r="AA7" s="30">
        <v>15</v>
      </c>
      <c r="AB7" s="30">
        <v>15</v>
      </c>
      <c r="AC7" s="30">
        <v>15</v>
      </c>
      <c r="AD7" s="30">
        <v>15</v>
      </c>
      <c r="AE7" s="30">
        <v>15</v>
      </c>
      <c r="AF7" s="30">
        <v>15</v>
      </c>
      <c r="AG7" s="37">
        <v>15</v>
      </c>
      <c r="AH7" s="38" t="s">
        <v>31</v>
      </c>
      <c r="AI7" s="39"/>
    </row>
    <row r="8" s="12" customFormat="1" ht="15.75" customHeight="1" spans="2:35">
      <c r="B8" s="19"/>
      <c r="C8" s="20"/>
      <c r="D8" s="20"/>
      <c r="E8" s="20"/>
      <c r="F8" s="20"/>
      <c r="G8" s="20"/>
      <c r="H8" s="20"/>
      <c r="I8" s="20"/>
      <c r="J8" s="20"/>
      <c r="K8" s="20"/>
      <c r="L8" s="31"/>
      <c r="M8" s="31"/>
      <c r="N8" s="31"/>
      <c r="O8" s="31"/>
      <c r="P8" s="31"/>
      <c r="Q8" s="31"/>
      <c r="R8" s="31"/>
      <c r="S8" s="31"/>
      <c r="T8" s="31"/>
      <c r="U8" s="20"/>
      <c r="V8" s="20"/>
      <c r="W8" s="20"/>
      <c r="X8" s="20"/>
      <c r="Y8" s="20"/>
      <c r="Z8" s="20"/>
      <c r="AA8" s="31"/>
      <c r="AB8" s="31"/>
      <c r="AC8" s="31"/>
      <c r="AD8" s="31"/>
      <c r="AE8" s="31"/>
      <c r="AF8" s="31"/>
      <c r="AG8" s="40"/>
      <c r="AH8" s="41"/>
      <c r="AI8" s="39"/>
    </row>
    <row r="9" s="12" customFormat="1" ht="15.75" customHeight="1" spans="2:35">
      <c r="B9" s="17" t="s">
        <v>42</v>
      </c>
      <c r="C9" s="18">
        <v>37.5</v>
      </c>
      <c r="D9" s="18">
        <v>37.5</v>
      </c>
      <c r="E9" s="18">
        <v>36</v>
      </c>
      <c r="F9" s="18">
        <v>37.5</v>
      </c>
      <c r="G9" s="18">
        <v>37.5</v>
      </c>
      <c r="H9" s="18">
        <v>36</v>
      </c>
      <c r="I9" s="18">
        <v>37.5</v>
      </c>
      <c r="J9" s="18">
        <v>37.5</v>
      </c>
      <c r="K9" s="18">
        <v>36</v>
      </c>
      <c r="L9" s="30">
        <v>37.5</v>
      </c>
      <c r="M9" s="30">
        <v>37.5</v>
      </c>
      <c r="N9" s="30">
        <v>36</v>
      </c>
      <c r="O9" s="30">
        <v>37.5</v>
      </c>
      <c r="P9" s="30">
        <v>37.5</v>
      </c>
      <c r="Q9" s="30">
        <v>36</v>
      </c>
      <c r="R9" s="30">
        <v>37.5</v>
      </c>
      <c r="S9" s="30">
        <v>37.5</v>
      </c>
      <c r="T9" s="30">
        <v>36</v>
      </c>
      <c r="U9" s="18">
        <v>37.5</v>
      </c>
      <c r="V9" s="18">
        <v>36</v>
      </c>
      <c r="W9" s="18">
        <v>37.5</v>
      </c>
      <c r="X9" s="18">
        <v>36</v>
      </c>
      <c r="Y9" s="18">
        <v>37.5</v>
      </c>
      <c r="Z9" s="18">
        <v>36</v>
      </c>
      <c r="AA9" s="30">
        <v>37.5</v>
      </c>
      <c r="AB9" s="30">
        <v>36</v>
      </c>
      <c r="AC9" s="30">
        <v>37.5</v>
      </c>
      <c r="AD9" s="30">
        <v>36</v>
      </c>
      <c r="AE9" s="30">
        <v>37.5</v>
      </c>
      <c r="AF9" s="30">
        <v>36</v>
      </c>
      <c r="AG9" s="37">
        <v>35</v>
      </c>
      <c r="AH9" s="38" t="s">
        <v>31</v>
      </c>
      <c r="AI9" s="39"/>
    </row>
    <row r="10" s="12" customFormat="1" ht="15.75" customHeight="1" spans="2:35">
      <c r="B10" s="19"/>
      <c r="C10" s="20"/>
      <c r="D10" s="20"/>
      <c r="E10" s="20"/>
      <c r="F10" s="20"/>
      <c r="G10" s="20"/>
      <c r="H10" s="20"/>
      <c r="I10" s="20"/>
      <c r="J10" s="20"/>
      <c r="K10" s="20"/>
      <c r="L10" s="31"/>
      <c r="M10" s="31"/>
      <c r="N10" s="31"/>
      <c r="O10" s="31"/>
      <c r="P10" s="31"/>
      <c r="Q10" s="31"/>
      <c r="R10" s="31"/>
      <c r="S10" s="31"/>
      <c r="T10" s="31"/>
      <c r="U10" s="20"/>
      <c r="V10" s="20"/>
      <c r="W10" s="20"/>
      <c r="X10" s="20"/>
      <c r="Y10" s="20"/>
      <c r="Z10" s="20"/>
      <c r="AA10" s="31"/>
      <c r="AB10" s="31"/>
      <c r="AC10" s="31"/>
      <c r="AD10" s="31"/>
      <c r="AE10" s="31"/>
      <c r="AF10" s="31"/>
      <c r="AG10" s="40"/>
      <c r="AH10" s="41"/>
      <c r="AI10" s="39"/>
    </row>
    <row r="11" s="12" customFormat="1" ht="15.75" customHeight="1" spans="2:35">
      <c r="B11" s="17" t="s">
        <v>43</v>
      </c>
      <c r="C11" s="18">
        <v>52.5</v>
      </c>
      <c r="D11" s="18">
        <v>50.625</v>
      </c>
      <c r="E11" s="18">
        <v>49.5</v>
      </c>
      <c r="F11" s="18">
        <v>52.5</v>
      </c>
      <c r="G11" s="18">
        <v>50.625</v>
      </c>
      <c r="H11" s="18">
        <v>49.5</v>
      </c>
      <c r="I11" s="18">
        <v>52.5</v>
      </c>
      <c r="J11" s="18">
        <v>50.625</v>
      </c>
      <c r="K11" s="18">
        <v>49.5</v>
      </c>
      <c r="L11" s="30">
        <v>52.5</v>
      </c>
      <c r="M11" s="30">
        <v>50.625</v>
      </c>
      <c r="N11" s="30">
        <v>49.5</v>
      </c>
      <c r="O11" s="30">
        <v>52.5</v>
      </c>
      <c r="P11" s="30">
        <v>50.625</v>
      </c>
      <c r="Q11" s="30">
        <v>49.5</v>
      </c>
      <c r="R11" s="30">
        <v>52.5</v>
      </c>
      <c r="S11" s="30">
        <v>50.625</v>
      </c>
      <c r="T11" s="30">
        <v>49.5</v>
      </c>
      <c r="U11" s="18">
        <v>50.625</v>
      </c>
      <c r="V11" s="18">
        <v>49.5</v>
      </c>
      <c r="W11" s="18">
        <v>50.625</v>
      </c>
      <c r="X11" s="18">
        <v>49.5</v>
      </c>
      <c r="Y11" s="18">
        <v>50.625</v>
      </c>
      <c r="Z11" s="18">
        <v>49.5</v>
      </c>
      <c r="AA11" s="30">
        <v>50.625</v>
      </c>
      <c r="AB11" s="30">
        <v>49.5</v>
      </c>
      <c r="AC11" s="30">
        <v>50.625</v>
      </c>
      <c r="AD11" s="30">
        <v>49.5</v>
      </c>
      <c r="AE11" s="30">
        <v>50.625</v>
      </c>
      <c r="AF11" s="30">
        <v>49.5</v>
      </c>
      <c r="AG11" s="37">
        <v>48.75</v>
      </c>
      <c r="AH11" s="38" t="s">
        <v>31</v>
      </c>
      <c r="AI11" s="39"/>
    </row>
    <row r="12" s="12" customFormat="1" ht="15.75" customHeight="1" spans="2:35">
      <c r="B12" s="19"/>
      <c r="C12" s="20"/>
      <c r="D12" s="20"/>
      <c r="E12" s="20"/>
      <c r="F12" s="20"/>
      <c r="G12" s="20"/>
      <c r="H12" s="20"/>
      <c r="I12" s="20"/>
      <c r="J12" s="20"/>
      <c r="K12" s="20"/>
      <c r="L12" s="31"/>
      <c r="M12" s="31"/>
      <c r="N12" s="31"/>
      <c r="O12" s="31"/>
      <c r="P12" s="31"/>
      <c r="Q12" s="31"/>
      <c r="R12" s="31"/>
      <c r="S12" s="31"/>
      <c r="T12" s="31"/>
      <c r="U12" s="20"/>
      <c r="V12" s="20"/>
      <c r="W12" s="20"/>
      <c r="X12" s="20"/>
      <c r="Y12" s="20"/>
      <c r="Z12" s="20"/>
      <c r="AA12" s="31"/>
      <c r="AB12" s="31"/>
      <c r="AC12" s="31"/>
      <c r="AD12" s="31"/>
      <c r="AE12" s="31"/>
      <c r="AF12" s="31"/>
      <c r="AG12" s="40"/>
      <c r="AH12" s="41"/>
      <c r="AI12" s="39"/>
    </row>
    <row r="13" s="12" customFormat="1" ht="15.75" spans="2:35">
      <c r="B13" s="17" t="s">
        <v>203</v>
      </c>
      <c r="C13" s="18">
        <v>40</v>
      </c>
      <c r="D13" s="18">
        <v>37.5</v>
      </c>
      <c r="E13" s="18">
        <v>30</v>
      </c>
      <c r="F13" s="18">
        <v>40</v>
      </c>
      <c r="G13" s="18">
        <v>37.5</v>
      </c>
      <c r="H13" s="18">
        <v>30</v>
      </c>
      <c r="I13" s="18">
        <v>40</v>
      </c>
      <c r="J13" s="18">
        <v>37.5</v>
      </c>
      <c r="K13" s="18">
        <v>30</v>
      </c>
      <c r="L13" s="30">
        <v>50</v>
      </c>
      <c r="M13" s="30">
        <v>50</v>
      </c>
      <c r="N13" s="30">
        <v>45</v>
      </c>
      <c r="O13" s="30">
        <v>50</v>
      </c>
      <c r="P13" s="30">
        <v>50</v>
      </c>
      <c r="Q13" s="30">
        <v>45</v>
      </c>
      <c r="R13" s="30">
        <v>50</v>
      </c>
      <c r="S13" s="30">
        <v>50</v>
      </c>
      <c r="T13" s="30">
        <v>45</v>
      </c>
      <c r="U13" s="18">
        <v>37.5</v>
      </c>
      <c r="V13" s="18">
        <v>30</v>
      </c>
      <c r="W13" s="18">
        <v>37.5</v>
      </c>
      <c r="X13" s="18">
        <v>30</v>
      </c>
      <c r="Y13" s="18">
        <v>37.5</v>
      </c>
      <c r="Z13" s="18">
        <v>30</v>
      </c>
      <c r="AA13" s="30">
        <v>50</v>
      </c>
      <c r="AB13" s="30">
        <v>45</v>
      </c>
      <c r="AC13" s="30">
        <v>50</v>
      </c>
      <c r="AD13" s="30">
        <v>45</v>
      </c>
      <c r="AE13" s="30">
        <v>50</v>
      </c>
      <c r="AF13" s="30">
        <v>45</v>
      </c>
      <c r="AG13" s="37">
        <v>40</v>
      </c>
      <c r="AH13" s="38" t="s">
        <v>31</v>
      </c>
      <c r="AI13" s="39"/>
    </row>
    <row r="14" s="12" customFormat="1" ht="15.75" spans="2:35">
      <c r="B14" s="19"/>
      <c r="C14" s="20"/>
      <c r="D14" s="20"/>
      <c r="E14" s="20"/>
      <c r="F14" s="20"/>
      <c r="G14" s="20"/>
      <c r="H14" s="20"/>
      <c r="I14" s="20"/>
      <c r="J14" s="20"/>
      <c r="K14" s="20"/>
      <c r="L14" s="31"/>
      <c r="M14" s="31"/>
      <c r="N14" s="31"/>
      <c r="O14" s="31"/>
      <c r="P14" s="31"/>
      <c r="Q14" s="31"/>
      <c r="R14" s="31"/>
      <c r="S14" s="31"/>
      <c r="T14" s="31"/>
      <c r="U14" s="20"/>
      <c r="V14" s="20"/>
      <c r="W14" s="20"/>
      <c r="X14" s="20"/>
      <c r="Y14" s="20"/>
      <c r="Z14" s="20"/>
      <c r="AA14" s="31"/>
      <c r="AB14" s="31"/>
      <c r="AC14" s="31"/>
      <c r="AD14" s="31"/>
      <c r="AE14" s="31"/>
      <c r="AF14" s="31"/>
      <c r="AG14" s="40"/>
      <c r="AH14" s="41"/>
      <c r="AI14" s="39"/>
    </row>
    <row r="15" s="12" customFormat="1" ht="15.75" spans="2:35">
      <c r="B15" s="17" t="s">
        <v>45</v>
      </c>
      <c r="C15" s="18">
        <f t="shared" ref="C15:AF15" si="0">MAX(4*CLOCK_PERIOD,7.5)</f>
        <v>7.5</v>
      </c>
      <c r="D15" s="18">
        <f t="shared" si="0"/>
        <v>7.5</v>
      </c>
      <c r="E15" s="18">
        <f t="shared" si="0"/>
        <v>7.5</v>
      </c>
      <c r="F15" s="18">
        <f t="shared" si="0"/>
        <v>7.5</v>
      </c>
      <c r="G15" s="18">
        <f t="shared" si="0"/>
        <v>7.5</v>
      </c>
      <c r="H15" s="18">
        <f t="shared" si="0"/>
        <v>7.5</v>
      </c>
      <c r="I15" s="18">
        <f t="shared" si="0"/>
        <v>7.5</v>
      </c>
      <c r="J15" s="18">
        <f t="shared" si="0"/>
        <v>7.5</v>
      </c>
      <c r="K15" s="18">
        <f t="shared" si="0"/>
        <v>7.5</v>
      </c>
      <c r="L15" s="30">
        <f t="shared" si="0"/>
        <v>7.5</v>
      </c>
      <c r="M15" s="30">
        <f t="shared" si="0"/>
        <v>7.5</v>
      </c>
      <c r="N15" s="30">
        <f t="shared" si="0"/>
        <v>7.5</v>
      </c>
      <c r="O15" s="30">
        <f t="shared" si="0"/>
        <v>7.5</v>
      </c>
      <c r="P15" s="30">
        <f t="shared" si="0"/>
        <v>7.5</v>
      </c>
      <c r="Q15" s="30">
        <f t="shared" si="0"/>
        <v>7.5</v>
      </c>
      <c r="R15" s="30">
        <f t="shared" si="0"/>
        <v>7.5</v>
      </c>
      <c r="S15" s="30">
        <f t="shared" si="0"/>
        <v>7.5</v>
      </c>
      <c r="T15" s="30">
        <f t="shared" si="0"/>
        <v>7.5</v>
      </c>
      <c r="U15" s="18">
        <f t="shared" si="0"/>
        <v>7.5</v>
      </c>
      <c r="V15" s="18">
        <f t="shared" si="0"/>
        <v>7.5</v>
      </c>
      <c r="W15" s="18">
        <f t="shared" si="0"/>
        <v>7.5</v>
      </c>
      <c r="X15" s="18">
        <f t="shared" si="0"/>
        <v>7.5</v>
      </c>
      <c r="Y15" s="18">
        <f t="shared" si="0"/>
        <v>7.5</v>
      </c>
      <c r="Z15" s="18">
        <f t="shared" si="0"/>
        <v>7.5</v>
      </c>
      <c r="AA15" s="30">
        <f t="shared" si="0"/>
        <v>7.5</v>
      </c>
      <c r="AB15" s="30">
        <f t="shared" si="0"/>
        <v>7.5</v>
      </c>
      <c r="AC15" s="30">
        <f t="shared" si="0"/>
        <v>7.5</v>
      </c>
      <c r="AD15" s="30">
        <f t="shared" si="0"/>
        <v>7.5</v>
      </c>
      <c r="AE15" s="30">
        <f t="shared" si="0"/>
        <v>7.5</v>
      </c>
      <c r="AF15" s="30">
        <f t="shared" si="0"/>
        <v>7.5</v>
      </c>
      <c r="AG15" s="37">
        <f>MAX(4*CLOCK_PERIOD,7.5)</f>
        <v>7.5</v>
      </c>
      <c r="AH15" s="38" t="s">
        <v>31</v>
      </c>
      <c r="AI15" s="39"/>
    </row>
    <row r="16" s="12" customFormat="1" ht="27" spans="2:35">
      <c r="B16" s="19"/>
      <c r="C16" s="20" t="s">
        <v>204</v>
      </c>
      <c r="D16" s="20" t="s">
        <v>204</v>
      </c>
      <c r="E16" s="20" t="s">
        <v>204</v>
      </c>
      <c r="F16" s="20" t="s">
        <v>204</v>
      </c>
      <c r="G16" s="20" t="s">
        <v>204</v>
      </c>
      <c r="H16" s="20" t="s">
        <v>204</v>
      </c>
      <c r="I16" s="20" t="s">
        <v>204</v>
      </c>
      <c r="J16" s="20" t="s">
        <v>204</v>
      </c>
      <c r="K16" s="20" t="s">
        <v>204</v>
      </c>
      <c r="L16" s="31" t="s">
        <v>204</v>
      </c>
      <c r="M16" s="31" t="s">
        <v>204</v>
      </c>
      <c r="N16" s="31" t="s">
        <v>204</v>
      </c>
      <c r="O16" s="31" t="s">
        <v>204</v>
      </c>
      <c r="P16" s="31" t="s">
        <v>204</v>
      </c>
      <c r="Q16" s="31" t="s">
        <v>204</v>
      </c>
      <c r="R16" s="31" t="s">
        <v>204</v>
      </c>
      <c r="S16" s="31" t="s">
        <v>204</v>
      </c>
      <c r="T16" s="31" t="s">
        <v>204</v>
      </c>
      <c r="U16" s="20" t="s">
        <v>204</v>
      </c>
      <c r="V16" s="20" t="s">
        <v>204</v>
      </c>
      <c r="W16" s="20" t="s">
        <v>204</v>
      </c>
      <c r="X16" s="20" t="s">
        <v>204</v>
      </c>
      <c r="Y16" s="20" t="s">
        <v>204</v>
      </c>
      <c r="Z16" s="20" t="s">
        <v>204</v>
      </c>
      <c r="AA16" s="31" t="s">
        <v>204</v>
      </c>
      <c r="AB16" s="31" t="s">
        <v>204</v>
      </c>
      <c r="AC16" s="31" t="s">
        <v>204</v>
      </c>
      <c r="AD16" s="31" t="s">
        <v>204</v>
      </c>
      <c r="AE16" s="31" t="s">
        <v>204</v>
      </c>
      <c r="AF16" s="31" t="s">
        <v>204</v>
      </c>
      <c r="AG16" s="40"/>
      <c r="AH16" s="41"/>
      <c r="AI16" s="39"/>
    </row>
    <row r="17" s="12" customFormat="1" ht="15.75" spans="2:35">
      <c r="B17" s="17" t="s">
        <v>47</v>
      </c>
      <c r="C17" s="18">
        <f>MAX(3*CLOCK_PERIOD,7.5)</f>
        <v>7.5</v>
      </c>
      <c r="D17" s="18">
        <f>MAX(3*CLOCK_PERIOD,7.5)</f>
        <v>7.5</v>
      </c>
      <c r="E17" s="18">
        <f>MAX(3*CLOCK_PERIOD,6)</f>
        <v>6</v>
      </c>
      <c r="F17" s="18">
        <f>MAX(3*CLOCK_PERIOD,7.5)</f>
        <v>7.5</v>
      </c>
      <c r="G17" s="18">
        <f>MAX(3*CLOCK_PERIOD,7.5)</f>
        <v>7.5</v>
      </c>
      <c r="H17" s="18">
        <f>MAX(3*CLOCK_PERIOD,6)</f>
        <v>6</v>
      </c>
      <c r="I17" s="18">
        <f>MAX(3*CLOCK_PERIOD,7.5)</f>
        <v>7.5</v>
      </c>
      <c r="J17" s="18">
        <f>MAX(3*CLOCK_PERIOD,7.5)</f>
        <v>7.5</v>
      </c>
      <c r="K17" s="18">
        <f>MAX(3*CLOCK_PERIOD,6)</f>
        <v>6</v>
      </c>
      <c r="L17" s="30">
        <f>MAX(3*CLOCK_PERIOD,7.5)</f>
        <v>7.5</v>
      </c>
      <c r="M17" s="30">
        <f>MAX(3*CLOCK_PERIOD,7.5)</f>
        <v>7.5</v>
      </c>
      <c r="N17" s="30">
        <f>MAX(3*CLOCK_PERIOD,6)</f>
        <v>6</v>
      </c>
      <c r="O17" s="30">
        <f>MAX(3*CLOCK_PERIOD,7.5)</f>
        <v>7.5</v>
      </c>
      <c r="P17" s="30">
        <f>MAX(3*CLOCK_PERIOD,7.5)</f>
        <v>7.5</v>
      </c>
      <c r="Q17" s="30">
        <f>MAX(3*CLOCK_PERIOD,6)</f>
        <v>6</v>
      </c>
      <c r="R17" s="30">
        <f>MAX(3*CLOCK_PERIOD,7.5)</f>
        <v>7.5</v>
      </c>
      <c r="S17" s="30">
        <f>MAX(3*CLOCK_PERIOD,7.5)</f>
        <v>7.5</v>
      </c>
      <c r="T17" s="30">
        <f>MAX(3*CLOCK_PERIOD,6)</f>
        <v>6</v>
      </c>
      <c r="U17" s="18">
        <f>MAX(3*CLOCK_PERIOD,7.5)</f>
        <v>7.5</v>
      </c>
      <c r="V17" s="18">
        <f>MAX(3*CLOCK_PERIOD,6)</f>
        <v>6</v>
      </c>
      <c r="W17" s="18">
        <f>MAX(3*CLOCK_PERIOD,7.5)</f>
        <v>7.5</v>
      </c>
      <c r="X17" s="18">
        <f>MAX(3*CLOCK_PERIOD,6)</f>
        <v>6</v>
      </c>
      <c r="Y17" s="18">
        <f>MAX(3*CLOCK_PERIOD,7.5)</f>
        <v>7.5</v>
      </c>
      <c r="Z17" s="18">
        <f>MAX(3*CLOCK_PERIOD,6)</f>
        <v>6</v>
      </c>
      <c r="AA17" s="30">
        <f>MAX(3*CLOCK_PERIOD,7.5)</f>
        <v>7.5</v>
      </c>
      <c r="AB17" s="30">
        <f>MAX(3*CLOCK_PERIOD,6)</f>
        <v>6</v>
      </c>
      <c r="AC17" s="30">
        <f>MAX(3*CLOCK_PERIOD,7.5)</f>
        <v>7.5</v>
      </c>
      <c r="AD17" s="30">
        <f>MAX(3*CLOCK_PERIOD,6)</f>
        <v>6</v>
      </c>
      <c r="AE17" s="30">
        <f>MAX(3*CLOCK_PERIOD,7.5)</f>
        <v>7.5</v>
      </c>
      <c r="AF17" s="30">
        <f>MAX(3*CLOCK_PERIOD,6)</f>
        <v>6</v>
      </c>
      <c r="AG17" s="37">
        <f>MAX(3*CLOCK_PERIOD,6)</f>
        <v>6</v>
      </c>
      <c r="AH17" s="38" t="s">
        <v>31</v>
      </c>
      <c r="AI17" s="39"/>
    </row>
    <row r="18" s="12" customFormat="1" ht="27" spans="2:35">
      <c r="B18" s="19"/>
      <c r="C18" s="20" t="s">
        <v>205</v>
      </c>
      <c r="D18" s="20" t="s">
        <v>205</v>
      </c>
      <c r="E18" s="20" t="s">
        <v>206</v>
      </c>
      <c r="F18" s="20" t="s">
        <v>205</v>
      </c>
      <c r="G18" s="20" t="s">
        <v>205</v>
      </c>
      <c r="H18" s="20" t="s">
        <v>206</v>
      </c>
      <c r="I18" s="20" t="s">
        <v>205</v>
      </c>
      <c r="J18" s="20" t="s">
        <v>205</v>
      </c>
      <c r="K18" s="20" t="s">
        <v>206</v>
      </c>
      <c r="L18" s="31" t="s">
        <v>205</v>
      </c>
      <c r="M18" s="31" t="s">
        <v>205</v>
      </c>
      <c r="N18" s="31" t="s">
        <v>206</v>
      </c>
      <c r="O18" s="31" t="s">
        <v>205</v>
      </c>
      <c r="P18" s="31" t="s">
        <v>205</v>
      </c>
      <c r="Q18" s="31" t="s">
        <v>206</v>
      </c>
      <c r="R18" s="31" t="s">
        <v>205</v>
      </c>
      <c r="S18" s="31" t="s">
        <v>205</v>
      </c>
      <c r="T18" s="31" t="s">
        <v>206</v>
      </c>
      <c r="U18" s="20" t="s">
        <v>205</v>
      </c>
      <c r="V18" s="20" t="s">
        <v>206</v>
      </c>
      <c r="W18" s="20" t="s">
        <v>205</v>
      </c>
      <c r="X18" s="20" t="s">
        <v>206</v>
      </c>
      <c r="Y18" s="20" t="s">
        <v>205</v>
      </c>
      <c r="Z18" s="20" t="s">
        <v>206</v>
      </c>
      <c r="AA18" s="31" t="s">
        <v>205</v>
      </c>
      <c r="AB18" s="31" t="s">
        <v>206</v>
      </c>
      <c r="AC18" s="31" t="s">
        <v>205</v>
      </c>
      <c r="AD18" s="31" t="s">
        <v>206</v>
      </c>
      <c r="AE18" s="31" t="s">
        <v>205</v>
      </c>
      <c r="AF18" s="31" t="s">
        <v>206</v>
      </c>
      <c r="AG18" s="40"/>
      <c r="AH18" s="41"/>
      <c r="AI18" s="39"/>
    </row>
    <row r="19" s="12" customFormat="1" ht="15.75" spans="2:35">
      <c r="B19" s="17" t="s">
        <v>207</v>
      </c>
      <c r="C19" s="18">
        <f t="shared" ref="C19:AF19" si="1">MAX(5*CLOCK_PERIOD,C31+10)</f>
        <v>120</v>
      </c>
      <c r="D19" s="18">
        <f t="shared" si="1"/>
        <v>120</v>
      </c>
      <c r="E19" s="18">
        <f t="shared" si="1"/>
        <v>120</v>
      </c>
      <c r="F19" s="18">
        <f t="shared" si="1"/>
        <v>170</v>
      </c>
      <c r="G19" s="18">
        <f t="shared" si="1"/>
        <v>170</v>
      </c>
      <c r="H19" s="18">
        <f t="shared" si="1"/>
        <v>170</v>
      </c>
      <c r="I19" s="18">
        <f t="shared" si="1"/>
        <v>270</v>
      </c>
      <c r="J19" s="18">
        <f t="shared" si="1"/>
        <v>270</v>
      </c>
      <c r="K19" s="18">
        <f t="shared" si="1"/>
        <v>270</v>
      </c>
      <c r="L19" s="30">
        <f t="shared" ref="L19:Z19" si="2">MAX(5*CLOCK_PERIOD,L31+10)</f>
        <v>120</v>
      </c>
      <c r="M19" s="30">
        <f t="shared" si="2"/>
        <v>120</v>
      </c>
      <c r="N19" s="30">
        <f t="shared" si="2"/>
        <v>120</v>
      </c>
      <c r="O19" s="30">
        <f t="shared" si="2"/>
        <v>170</v>
      </c>
      <c r="P19" s="30">
        <f t="shared" si="2"/>
        <v>170</v>
      </c>
      <c r="Q19" s="30">
        <f t="shared" si="2"/>
        <v>170</v>
      </c>
      <c r="R19" s="30">
        <f t="shared" si="2"/>
        <v>270</v>
      </c>
      <c r="S19" s="30">
        <f t="shared" si="2"/>
        <v>270</v>
      </c>
      <c r="T19" s="30">
        <f t="shared" si="2"/>
        <v>270</v>
      </c>
      <c r="U19" s="18">
        <f t="shared" si="2"/>
        <v>120</v>
      </c>
      <c r="V19" s="18">
        <f t="shared" si="2"/>
        <v>120</v>
      </c>
      <c r="W19" s="18">
        <f t="shared" si="2"/>
        <v>170</v>
      </c>
      <c r="X19" s="18">
        <f t="shared" si="2"/>
        <v>170</v>
      </c>
      <c r="Y19" s="18">
        <f t="shared" si="2"/>
        <v>270</v>
      </c>
      <c r="Z19" s="18">
        <f t="shared" si="2"/>
        <v>270</v>
      </c>
      <c r="AA19" s="30">
        <f t="shared" si="1"/>
        <v>120</v>
      </c>
      <c r="AB19" s="30">
        <f t="shared" si="1"/>
        <v>120</v>
      </c>
      <c r="AC19" s="30">
        <f t="shared" si="1"/>
        <v>170</v>
      </c>
      <c r="AD19" s="30">
        <f t="shared" si="1"/>
        <v>170</v>
      </c>
      <c r="AE19" s="30">
        <f t="shared" si="1"/>
        <v>270</v>
      </c>
      <c r="AF19" s="30">
        <f t="shared" si="1"/>
        <v>270</v>
      </c>
      <c r="AG19" s="37">
        <f>MAX(5*CLOCK_PERIOD,AG31+10)</f>
        <v>270</v>
      </c>
      <c r="AH19" s="38" t="s">
        <v>31</v>
      </c>
      <c r="AI19" s="39"/>
    </row>
    <row r="20" s="12" customFormat="1" ht="27" spans="2:35">
      <c r="B20" s="19"/>
      <c r="C20" s="20" t="s">
        <v>208</v>
      </c>
      <c r="D20" s="20" t="s">
        <v>208</v>
      </c>
      <c r="E20" s="20" t="s">
        <v>208</v>
      </c>
      <c r="F20" s="20" t="s">
        <v>208</v>
      </c>
      <c r="G20" s="20" t="s">
        <v>208</v>
      </c>
      <c r="H20" s="20" t="s">
        <v>208</v>
      </c>
      <c r="I20" s="20" t="s">
        <v>208</v>
      </c>
      <c r="J20" s="20" t="s">
        <v>208</v>
      </c>
      <c r="K20" s="20" t="s">
        <v>208</v>
      </c>
      <c r="L20" s="31" t="s">
        <v>208</v>
      </c>
      <c r="M20" s="31" t="s">
        <v>208</v>
      </c>
      <c r="N20" s="31" t="s">
        <v>208</v>
      </c>
      <c r="O20" s="31" t="s">
        <v>208</v>
      </c>
      <c r="P20" s="31" t="s">
        <v>208</v>
      </c>
      <c r="Q20" s="31" t="s">
        <v>208</v>
      </c>
      <c r="R20" s="31" t="s">
        <v>208</v>
      </c>
      <c r="S20" s="31" t="s">
        <v>208</v>
      </c>
      <c r="T20" s="31" t="s">
        <v>208</v>
      </c>
      <c r="U20" s="20" t="s">
        <v>208</v>
      </c>
      <c r="V20" s="20" t="s">
        <v>208</v>
      </c>
      <c r="W20" s="20" t="s">
        <v>208</v>
      </c>
      <c r="X20" s="20" t="s">
        <v>208</v>
      </c>
      <c r="Y20" s="20" t="s">
        <v>208</v>
      </c>
      <c r="Z20" s="20" t="s">
        <v>208</v>
      </c>
      <c r="AA20" s="31" t="s">
        <v>208</v>
      </c>
      <c r="AB20" s="31" t="s">
        <v>208</v>
      </c>
      <c r="AC20" s="31" t="s">
        <v>208</v>
      </c>
      <c r="AD20" s="31" t="s">
        <v>208</v>
      </c>
      <c r="AE20" s="31" t="s">
        <v>208</v>
      </c>
      <c r="AF20" s="31" t="s">
        <v>208</v>
      </c>
      <c r="AG20" s="40"/>
      <c r="AH20" s="41"/>
      <c r="AI20" s="39"/>
    </row>
    <row r="21" s="12" customFormat="1" ht="15.75" spans="2:35">
      <c r="B21" s="21" t="s">
        <v>209</v>
      </c>
      <c r="C21" s="18">
        <v>512</v>
      </c>
      <c r="D21" s="18">
        <v>512</v>
      </c>
      <c r="E21" s="18">
        <v>512</v>
      </c>
      <c r="F21" s="18">
        <v>512</v>
      </c>
      <c r="G21" s="18">
        <v>512</v>
      </c>
      <c r="H21" s="18">
        <v>512</v>
      </c>
      <c r="I21" s="18">
        <v>512</v>
      </c>
      <c r="J21" s="18">
        <v>512</v>
      </c>
      <c r="K21" s="18">
        <v>512</v>
      </c>
      <c r="L21" s="30">
        <v>512</v>
      </c>
      <c r="M21" s="30">
        <v>512</v>
      </c>
      <c r="N21" s="30">
        <v>512</v>
      </c>
      <c r="O21" s="30">
        <v>512</v>
      </c>
      <c r="P21" s="30">
        <v>512</v>
      </c>
      <c r="Q21" s="30">
        <v>512</v>
      </c>
      <c r="R21" s="30">
        <v>512</v>
      </c>
      <c r="S21" s="30">
        <v>512</v>
      </c>
      <c r="T21" s="30">
        <v>512</v>
      </c>
      <c r="U21" s="18">
        <v>512</v>
      </c>
      <c r="V21" s="18">
        <v>512</v>
      </c>
      <c r="W21" s="18">
        <v>512</v>
      </c>
      <c r="X21" s="18">
        <v>512</v>
      </c>
      <c r="Y21" s="18">
        <v>512</v>
      </c>
      <c r="Z21" s="18">
        <v>512</v>
      </c>
      <c r="AA21" s="30">
        <v>512</v>
      </c>
      <c r="AB21" s="30">
        <v>512</v>
      </c>
      <c r="AC21" s="30">
        <v>512</v>
      </c>
      <c r="AD21" s="30">
        <v>512</v>
      </c>
      <c r="AE21" s="30">
        <v>512</v>
      </c>
      <c r="AF21" s="30">
        <v>512</v>
      </c>
      <c r="AG21" s="37">
        <v>512</v>
      </c>
      <c r="AH21" s="38" t="s">
        <v>210</v>
      </c>
      <c r="AI21" s="39"/>
    </row>
    <row r="22" s="12" customFormat="1" ht="15.75" spans="2:35">
      <c r="B22" s="22"/>
      <c r="C22" s="20"/>
      <c r="D22" s="20"/>
      <c r="E22" s="20"/>
      <c r="F22" s="20"/>
      <c r="G22" s="20"/>
      <c r="H22" s="20"/>
      <c r="I22" s="20"/>
      <c r="J22" s="20"/>
      <c r="K22" s="20"/>
      <c r="L22" s="31"/>
      <c r="M22" s="31"/>
      <c r="N22" s="31"/>
      <c r="O22" s="31"/>
      <c r="P22" s="31"/>
      <c r="Q22" s="31"/>
      <c r="R22" s="31"/>
      <c r="S22" s="31"/>
      <c r="T22" s="31"/>
      <c r="U22" s="20"/>
      <c r="V22" s="20"/>
      <c r="W22" s="20"/>
      <c r="X22" s="20"/>
      <c r="Y22" s="20"/>
      <c r="Z22" s="20"/>
      <c r="AA22" s="31"/>
      <c r="AB22" s="31"/>
      <c r="AC22" s="31"/>
      <c r="AD22" s="31"/>
      <c r="AE22" s="31"/>
      <c r="AF22" s="31"/>
      <c r="AG22" s="40"/>
      <c r="AH22" s="41"/>
      <c r="AI22" s="39"/>
    </row>
    <row r="23" s="12" customFormat="1" ht="15.75" spans="2:35">
      <c r="B23" s="17" t="s">
        <v>51</v>
      </c>
      <c r="C23" s="18">
        <f t="shared" ref="C23:AF23" si="3">MAX(4*CLOCK_PERIOD,7.5)</f>
        <v>7.5</v>
      </c>
      <c r="D23" s="18">
        <f t="shared" si="3"/>
        <v>7.5</v>
      </c>
      <c r="E23" s="18">
        <f t="shared" si="3"/>
        <v>7.5</v>
      </c>
      <c r="F23" s="18">
        <f t="shared" si="3"/>
        <v>7.5</v>
      </c>
      <c r="G23" s="18">
        <f t="shared" si="3"/>
        <v>7.5</v>
      </c>
      <c r="H23" s="18">
        <f t="shared" si="3"/>
        <v>7.5</v>
      </c>
      <c r="I23" s="18">
        <f t="shared" si="3"/>
        <v>7.5</v>
      </c>
      <c r="J23" s="18">
        <f t="shared" si="3"/>
        <v>7.5</v>
      </c>
      <c r="K23" s="18">
        <f t="shared" si="3"/>
        <v>7.5</v>
      </c>
      <c r="L23" s="30">
        <f t="shared" si="3"/>
        <v>7.5</v>
      </c>
      <c r="M23" s="30">
        <f t="shared" si="3"/>
        <v>7.5</v>
      </c>
      <c r="N23" s="30">
        <f t="shared" si="3"/>
        <v>7.5</v>
      </c>
      <c r="O23" s="30">
        <f t="shared" si="3"/>
        <v>7.5</v>
      </c>
      <c r="P23" s="30">
        <f t="shared" si="3"/>
        <v>7.5</v>
      </c>
      <c r="Q23" s="30">
        <f t="shared" si="3"/>
        <v>7.5</v>
      </c>
      <c r="R23" s="30">
        <f t="shared" si="3"/>
        <v>7.5</v>
      </c>
      <c r="S23" s="30">
        <f t="shared" si="3"/>
        <v>7.5</v>
      </c>
      <c r="T23" s="30">
        <f t="shared" si="3"/>
        <v>7.5</v>
      </c>
      <c r="U23" s="18">
        <f t="shared" si="3"/>
        <v>7.5</v>
      </c>
      <c r="V23" s="18">
        <f t="shared" si="3"/>
        <v>7.5</v>
      </c>
      <c r="W23" s="18">
        <f t="shared" si="3"/>
        <v>7.5</v>
      </c>
      <c r="X23" s="18">
        <f t="shared" si="3"/>
        <v>7.5</v>
      </c>
      <c r="Y23" s="18">
        <f t="shared" si="3"/>
        <v>7.5</v>
      </c>
      <c r="Z23" s="18">
        <f t="shared" si="3"/>
        <v>7.5</v>
      </c>
      <c r="AA23" s="30">
        <f t="shared" si="3"/>
        <v>7.5</v>
      </c>
      <c r="AB23" s="30">
        <f t="shared" si="3"/>
        <v>7.5</v>
      </c>
      <c r="AC23" s="30">
        <f t="shared" si="3"/>
        <v>7.5</v>
      </c>
      <c r="AD23" s="30">
        <f t="shared" si="3"/>
        <v>7.5</v>
      </c>
      <c r="AE23" s="30">
        <f t="shared" si="3"/>
        <v>7.5</v>
      </c>
      <c r="AF23" s="30">
        <f t="shared" si="3"/>
        <v>7.5</v>
      </c>
      <c r="AG23" s="37">
        <f>MAX(4*CLOCK_PERIOD,7.5)</f>
        <v>7.5</v>
      </c>
      <c r="AH23" s="38" t="s">
        <v>31</v>
      </c>
      <c r="AI23" s="39"/>
    </row>
    <row r="24" s="12" customFormat="1" ht="27" spans="2:35">
      <c r="B24" s="19"/>
      <c r="C24" s="20" t="s">
        <v>204</v>
      </c>
      <c r="D24" s="20" t="s">
        <v>204</v>
      </c>
      <c r="E24" s="20" t="s">
        <v>204</v>
      </c>
      <c r="F24" s="20" t="s">
        <v>204</v>
      </c>
      <c r="G24" s="20" t="s">
        <v>204</v>
      </c>
      <c r="H24" s="20" t="s">
        <v>204</v>
      </c>
      <c r="I24" s="20" t="s">
        <v>204</v>
      </c>
      <c r="J24" s="20" t="s">
        <v>204</v>
      </c>
      <c r="K24" s="20" t="s">
        <v>204</v>
      </c>
      <c r="L24" s="31" t="s">
        <v>204</v>
      </c>
      <c r="M24" s="31" t="s">
        <v>204</v>
      </c>
      <c r="N24" s="31" t="s">
        <v>204</v>
      </c>
      <c r="O24" s="31" t="s">
        <v>204</v>
      </c>
      <c r="P24" s="31" t="s">
        <v>204</v>
      </c>
      <c r="Q24" s="31" t="s">
        <v>204</v>
      </c>
      <c r="R24" s="31" t="s">
        <v>204</v>
      </c>
      <c r="S24" s="31" t="s">
        <v>204</v>
      </c>
      <c r="T24" s="31" t="s">
        <v>204</v>
      </c>
      <c r="U24" s="20" t="s">
        <v>204</v>
      </c>
      <c r="V24" s="20" t="s">
        <v>204</v>
      </c>
      <c r="W24" s="20" t="s">
        <v>204</v>
      </c>
      <c r="X24" s="20" t="s">
        <v>204</v>
      </c>
      <c r="Y24" s="20" t="s">
        <v>204</v>
      </c>
      <c r="Z24" s="20" t="s">
        <v>204</v>
      </c>
      <c r="AA24" s="31" t="s">
        <v>204</v>
      </c>
      <c r="AB24" s="31" t="s">
        <v>204</v>
      </c>
      <c r="AC24" s="31" t="s">
        <v>204</v>
      </c>
      <c r="AD24" s="31" t="s">
        <v>204</v>
      </c>
      <c r="AE24" s="31" t="s">
        <v>204</v>
      </c>
      <c r="AF24" s="31" t="s">
        <v>204</v>
      </c>
      <c r="AG24" s="40"/>
      <c r="AH24" s="41"/>
      <c r="AI24" s="39"/>
    </row>
    <row r="25" s="12" customFormat="1" ht="15.75" spans="2:35">
      <c r="B25" s="17" t="s">
        <v>52</v>
      </c>
      <c r="C25" s="18">
        <f>MAX(3*CLOCK_PERIOD,7.5)</f>
        <v>7.5</v>
      </c>
      <c r="D25" s="18">
        <f>MAX(3*CLOCK_PERIOD,5.625)</f>
        <v>5.625</v>
      </c>
      <c r="E25" s="18">
        <f>MAX(3*CLOCK_PERIOD,5.625)</f>
        <v>5.625</v>
      </c>
      <c r="F25" s="18">
        <f>MAX(3*CLOCK_PERIOD,7.5)</f>
        <v>7.5</v>
      </c>
      <c r="G25" s="18">
        <f>MAX(3*CLOCK_PERIOD,5.625)</f>
        <v>5.625</v>
      </c>
      <c r="H25" s="18">
        <f>MAX(3*CLOCK_PERIOD,5.625)</f>
        <v>5.625</v>
      </c>
      <c r="I25" s="18">
        <f>MAX(3*CLOCK_PERIOD,7.5)</f>
        <v>7.5</v>
      </c>
      <c r="J25" s="18">
        <f t="shared" ref="J25:AF25" si="4">MAX(3*CLOCK_PERIOD,5.625)</f>
        <v>5.625</v>
      </c>
      <c r="K25" s="18">
        <f t="shared" si="4"/>
        <v>5.625</v>
      </c>
      <c r="L25" s="30">
        <f>MAX(3*CLOCK_PERIOD,7.5)</f>
        <v>7.5</v>
      </c>
      <c r="M25" s="30">
        <f>MAX(3*CLOCK_PERIOD,5.625)</f>
        <v>5.625</v>
      </c>
      <c r="N25" s="30">
        <f>MAX(3*CLOCK_PERIOD,5.625)</f>
        <v>5.625</v>
      </c>
      <c r="O25" s="30">
        <f>MAX(3*CLOCK_PERIOD,7.5)</f>
        <v>7.5</v>
      </c>
      <c r="P25" s="30">
        <f>MAX(3*CLOCK_PERIOD,5.625)</f>
        <v>5.625</v>
      </c>
      <c r="Q25" s="30">
        <f>MAX(3*CLOCK_PERIOD,5.625)</f>
        <v>5.625</v>
      </c>
      <c r="R25" s="30">
        <f>MAX(3*CLOCK_PERIOD,7.5)</f>
        <v>7.5</v>
      </c>
      <c r="S25" s="30">
        <f t="shared" si="4"/>
        <v>5.625</v>
      </c>
      <c r="T25" s="30">
        <f t="shared" si="4"/>
        <v>5.625</v>
      </c>
      <c r="U25" s="18">
        <f t="shared" si="4"/>
        <v>5.625</v>
      </c>
      <c r="V25" s="18">
        <f t="shared" si="4"/>
        <v>5.625</v>
      </c>
      <c r="W25" s="18">
        <f t="shared" si="4"/>
        <v>5.625</v>
      </c>
      <c r="X25" s="18">
        <f t="shared" si="4"/>
        <v>5.625</v>
      </c>
      <c r="Y25" s="18">
        <f t="shared" si="4"/>
        <v>5.625</v>
      </c>
      <c r="Z25" s="18">
        <f t="shared" si="4"/>
        <v>5.625</v>
      </c>
      <c r="AA25" s="30">
        <f t="shared" si="4"/>
        <v>5.625</v>
      </c>
      <c r="AB25" s="30">
        <f t="shared" si="4"/>
        <v>5.625</v>
      </c>
      <c r="AC25" s="30">
        <f t="shared" si="4"/>
        <v>5.625</v>
      </c>
      <c r="AD25" s="30">
        <f t="shared" si="4"/>
        <v>5.625</v>
      </c>
      <c r="AE25" s="30">
        <f t="shared" si="4"/>
        <v>5.625</v>
      </c>
      <c r="AF25" s="30">
        <f t="shared" si="4"/>
        <v>5.625</v>
      </c>
      <c r="AG25" s="37">
        <f>MAX(3*CLOCK_PERIOD,5.625)</f>
        <v>5.625</v>
      </c>
      <c r="AH25" s="38" t="s">
        <v>31</v>
      </c>
      <c r="AI25" s="39"/>
    </row>
    <row r="26" s="12" customFormat="1" ht="27" spans="2:35">
      <c r="B26" s="19"/>
      <c r="C26" s="20" t="s">
        <v>205</v>
      </c>
      <c r="D26" s="20" t="s">
        <v>211</v>
      </c>
      <c r="E26" s="20" t="s">
        <v>211</v>
      </c>
      <c r="F26" s="20" t="s">
        <v>205</v>
      </c>
      <c r="G26" s="20" t="s">
        <v>211</v>
      </c>
      <c r="H26" s="20" t="s">
        <v>211</v>
      </c>
      <c r="I26" s="20" t="s">
        <v>205</v>
      </c>
      <c r="J26" s="20" t="s">
        <v>211</v>
      </c>
      <c r="K26" s="20" t="s">
        <v>211</v>
      </c>
      <c r="L26" s="31" t="s">
        <v>205</v>
      </c>
      <c r="M26" s="31" t="s">
        <v>211</v>
      </c>
      <c r="N26" s="31" t="s">
        <v>211</v>
      </c>
      <c r="O26" s="31" t="s">
        <v>205</v>
      </c>
      <c r="P26" s="31" t="s">
        <v>211</v>
      </c>
      <c r="Q26" s="31" t="s">
        <v>211</v>
      </c>
      <c r="R26" s="31" t="s">
        <v>205</v>
      </c>
      <c r="S26" s="31" t="s">
        <v>211</v>
      </c>
      <c r="T26" s="31" t="s">
        <v>211</v>
      </c>
      <c r="U26" s="20" t="s">
        <v>211</v>
      </c>
      <c r="V26" s="20" t="s">
        <v>211</v>
      </c>
      <c r="W26" s="20" t="s">
        <v>211</v>
      </c>
      <c r="X26" s="20" t="s">
        <v>211</v>
      </c>
      <c r="Y26" s="20" t="s">
        <v>211</v>
      </c>
      <c r="Z26" s="20" t="s">
        <v>211</v>
      </c>
      <c r="AA26" s="31" t="s">
        <v>211</v>
      </c>
      <c r="AB26" s="31" t="s">
        <v>211</v>
      </c>
      <c r="AC26" s="31" t="s">
        <v>211</v>
      </c>
      <c r="AD26" s="31" t="s">
        <v>211</v>
      </c>
      <c r="AE26" s="31" t="s">
        <v>211</v>
      </c>
      <c r="AF26" s="31" t="s">
        <v>211</v>
      </c>
      <c r="AG26" s="40"/>
      <c r="AH26" s="41"/>
      <c r="AI26" s="39"/>
    </row>
    <row r="27" s="12" customFormat="1" ht="15.75" spans="2:35">
      <c r="B27" s="17" t="s">
        <v>54</v>
      </c>
      <c r="C27" s="18">
        <f t="shared" ref="C27:AG27" si="5">C25+CLOCK_PERIOD</f>
        <v>9</v>
      </c>
      <c r="D27" s="18">
        <f t="shared" si="5"/>
        <v>7.125</v>
      </c>
      <c r="E27" s="18">
        <f t="shared" si="5"/>
        <v>7.125</v>
      </c>
      <c r="F27" s="18">
        <f t="shared" si="5"/>
        <v>9</v>
      </c>
      <c r="G27" s="18">
        <f t="shared" si="5"/>
        <v>7.125</v>
      </c>
      <c r="H27" s="18">
        <f t="shared" si="5"/>
        <v>7.125</v>
      </c>
      <c r="I27" s="18">
        <f t="shared" si="5"/>
        <v>9</v>
      </c>
      <c r="J27" s="18">
        <f t="shared" si="5"/>
        <v>7.125</v>
      </c>
      <c r="K27" s="18">
        <f t="shared" si="5"/>
        <v>7.125</v>
      </c>
      <c r="L27" s="30">
        <f t="shared" ref="L27:Z27" si="6">L25+CLOCK_PERIOD</f>
        <v>9</v>
      </c>
      <c r="M27" s="30">
        <f t="shared" si="6"/>
        <v>7.125</v>
      </c>
      <c r="N27" s="30">
        <f t="shared" si="6"/>
        <v>7.125</v>
      </c>
      <c r="O27" s="30">
        <f t="shared" si="6"/>
        <v>9</v>
      </c>
      <c r="P27" s="30">
        <f t="shared" si="6"/>
        <v>7.125</v>
      </c>
      <c r="Q27" s="30">
        <f t="shared" si="6"/>
        <v>7.125</v>
      </c>
      <c r="R27" s="30">
        <f t="shared" si="6"/>
        <v>9</v>
      </c>
      <c r="S27" s="30">
        <f t="shared" si="6"/>
        <v>7.125</v>
      </c>
      <c r="T27" s="30">
        <f t="shared" si="6"/>
        <v>7.125</v>
      </c>
      <c r="U27" s="18">
        <f t="shared" si="6"/>
        <v>7.125</v>
      </c>
      <c r="V27" s="18">
        <f t="shared" si="6"/>
        <v>7.125</v>
      </c>
      <c r="W27" s="18">
        <f t="shared" si="6"/>
        <v>7.125</v>
      </c>
      <c r="X27" s="18">
        <f t="shared" si="6"/>
        <v>7.125</v>
      </c>
      <c r="Y27" s="18">
        <f t="shared" si="6"/>
        <v>7.125</v>
      </c>
      <c r="Z27" s="18">
        <f t="shared" si="6"/>
        <v>7.125</v>
      </c>
      <c r="AA27" s="30">
        <f t="shared" si="5"/>
        <v>7.125</v>
      </c>
      <c r="AB27" s="30">
        <f t="shared" si="5"/>
        <v>7.125</v>
      </c>
      <c r="AC27" s="30">
        <f t="shared" si="5"/>
        <v>7.125</v>
      </c>
      <c r="AD27" s="30">
        <f t="shared" si="5"/>
        <v>7.125</v>
      </c>
      <c r="AE27" s="30">
        <f t="shared" si="5"/>
        <v>7.125</v>
      </c>
      <c r="AF27" s="30">
        <f t="shared" si="5"/>
        <v>7.125</v>
      </c>
      <c r="AG27" s="37">
        <f t="shared" si="5"/>
        <v>7.125</v>
      </c>
      <c r="AH27" s="38" t="s">
        <v>31</v>
      </c>
      <c r="AI27" s="39"/>
    </row>
    <row r="28" s="12" customFormat="1" ht="15.75" spans="2:35">
      <c r="B28" s="19"/>
      <c r="C28" s="20" t="s">
        <v>212</v>
      </c>
      <c r="D28" s="20" t="s">
        <v>212</v>
      </c>
      <c r="E28" s="20" t="s">
        <v>212</v>
      </c>
      <c r="F28" s="20" t="s">
        <v>212</v>
      </c>
      <c r="G28" s="20" t="s">
        <v>212</v>
      </c>
      <c r="H28" s="20" t="s">
        <v>212</v>
      </c>
      <c r="I28" s="20" t="s">
        <v>212</v>
      </c>
      <c r="J28" s="20" t="s">
        <v>212</v>
      </c>
      <c r="K28" s="20" t="s">
        <v>212</v>
      </c>
      <c r="L28" s="31" t="s">
        <v>212</v>
      </c>
      <c r="M28" s="31" t="s">
        <v>212</v>
      </c>
      <c r="N28" s="31" t="s">
        <v>212</v>
      </c>
      <c r="O28" s="31" t="s">
        <v>212</v>
      </c>
      <c r="P28" s="31" t="s">
        <v>212</v>
      </c>
      <c r="Q28" s="31" t="s">
        <v>212</v>
      </c>
      <c r="R28" s="31" t="s">
        <v>212</v>
      </c>
      <c r="S28" s="31" t="s">
        <v>212</v>
      </c>
      <c r="T28" s="31" t="s">
        <v>212</v>
      </c>
      <c r="U28" s="20" t="s">
        <v>212</v>
      </c>
      <c r="V28" s="20" t="s">
        <v>212</v>
      </c>
      <c r="W28" s="20" t="s">
        <v>212</v>
      </c>
      <c r="X28" s="20" t="s">
        <v>212</v>
      </c>
      <c r="Y28" s="20" t="s">
        <v>212</v>
      </c>
      <c r="Z28" s="20" t="s">
        <v>212</v>
      </c>
      <c r="AA28" s="31" t="s">
        <v>212</v>
      </c>
      <c r="AB28" s="31" t="s">
        <v>212</v>
      </c>
      <c r="AC28" s="31" t="s">
        <v>212</v>
      </c>
      <c r="AD28" s="31" t="s">
        <v>212</v>
      </c>
      <c r="AE28" s="31" t="s">
        <v>212</v>
      </c>
      <c r="AF28" s="31" t="s">
        <v>212</v>
      </c>
      <c r="AG28" s="40"/>
      <c r="AH28" s="41"/>
      <c r="AI28" s="39"/>
    </row>
    <row r="29" s="12" customFormat="1" ht="15.75" spans="2:35">
      <c r="B29" s="17" t="s">
        <v>55</v>
      </c>
      <c r="C29" s="18">
        <v>64</v>
      </c>
      <c r="D29" s="18">
        <v>64</v>
      </c>
      <c r="E29" s="18">
        <v>64</v>
      </c>
      <c r="F29" s="18">
        <v>64</v>
      </c>
      <c r="G29" s="18">
        <v>64</v>
      </c>
      <c r="H29" s="18">
        <v>64</v>
      </c>
      <c r="I29" s="18">
        <v>64</v>
      </c>
      <c r="J29" s="18">
        <v>64</v>
      </c>
      <c r="K29" s="18">
        <v>64</v>
      </c>
      <c r="L29" s="30">
        <v>64</v>
      </c>
      <c r="M29" s="30">
        <v>64</v>
      </c>
      <c r="N29" s="30">
        <v>64</v>
      </c>
      <c r="O29" s="30">
        <v>64</v>
      </c>
      <c r="P29" s="30">
        <v>64</v>
      </c>
      <c r="Q29" s="30">
        <v>64</v>
      </c>
      <c r="R29" s="30">
        <v>64</v>
      </c>
      <c r="S29" s="30">
        <v>64</v>
      </c>
      <c r="T29" s="30">
        <v>64</v>
      </c>
      <c r="U29" s="18">
        <v>64</v>
      </c>
      <c r="V29" s="18">
        <v>64</v>
      </c>
      <c r="W29" s="18">
        <v>64</v>
      </c>
      <c r="X29" s="18">
        <v>64</v>
      </c>
      <c r="Y29" s="18">
        <v>64</v>
      </c>
      <c r="Z29" s="18">
        <v>64</v>
      </c>
      <c r="AA29" s="30">
        <v>64</v>
      </c>
      <c r="AB29" s="30">
        <v>64</v>
      </c>
      <c r="AC29" s="30">
        <v>64</v>
      </c>
      <c r="AD29" s="30">
        <v>64</v>
      </c>
      <c r="AE29" s="30">
        <v>64</v>
      </c>
      <c r="AF29" s="30">
        <v>64</v>
      </c>
      <c r="AG29" s="37">
        <v>64</v>
      </c>
      <c r="AH29" s="38" t="s">
        <v>210</v>
      </c>
      <c r="AI29" s="39"/>
    </row>
    <row r="30" s="12" customFormat="1" ht="15.75" spans="2:35">
      <c r="B30" s="19"/>
      <c r="C30" s="20"/>
      <c r="D30" s="20"/>
      <c r="E30" s="20"/>
      <c r="F30" s="20"/>
      <c r="G30" s="20"/>
      <c r="H30" s="20"/>
      <c r="I30" s="20"/>
      <c r="J30" s="20"/>
      <c r="K30" s="20"/>
      <c r="L30" s="31"/>
      <c r="M30" s="31"/>
      <c r="N30" s="31"/>
      <c r="O30" s="31"/>
      <c r="P30" s="31"/>
      <c r="Q30" s="31"/>
      <c r="R30" s="31"/>
      <c r="S30" s="31"/>
      <c r="T30" s="31"/>
      <c r="U30" s="20"/>
      <c r="V30" s="20"/>
      <c r="W30" s="20"/>
      <c r="X30" s="20"/>
      <c r="Y30" s="20"/>
      <c r="Z30" s="20"/>
      <c r="AA30" s="31"/>
      <c r="AB30" s="31"/>
      <c r="AC30" s="31"/>
      <c r="AD30" s="31"/>
      <c r="AE30" s="31"/>
      <c r="AF30" s="31"/>
      <c r="AG30" s="40"/>
      <c r="AH30" s="41"/>
      <c r="AI30" s="39"/>
    </row>
    <row r="31" s="12" customFormat="1" ht="15.75" spans="2:35">
      <c r="B31" s="23" t="s">
        <v>56</v>
      </c>
      <c r="C31" s="24">
        <v>110</v>
      </c>
      <c r="D31" s="24">
        <v>110</v>
      </c>
      <c r="E31" s="24">
        <v>110</v>
      </c>
      <c r="F31" s="24">
        <v>160</v>
      </c>
      <c r="G31" s="24">
        <v>160</v>
      </c>
      <c r="H31" s="24">
        <v>160</v>
      </c>
      <c r="I31" s="24">
        <v>260</v>
      </c>
      <c r="J31" s="24">
        <v>260</v>
      </c>
      <c r="K31" s="24">
        <v>260</v>
      </c>
      <c r="L31" s="32">
        <v>110</v>
      </c>
      <c r="M31" s="32">
        <v>110</v>
      </c>
      <c r="N31" s="32">
        <v>110</v>
      </c>
      <c r="O31" s="32">
        <v>160</v>
      </c>
      <c r="P31" s="32">
        <v>160</v>
      </c>
      <c r="Q31" s="32">
        <v>160</v>
      </c>
      <c r="R31" s="32">
        <v>260</v>
      </c>
      <c r="S31" s="32">
        <v>260</v>
      </c>
      <c r="T31" s="32">
        <v>260</v>
      </c>
      <c r="U31" s="24">
        <v>110</v>
      </c>
      <c r="V31" s="24">
        <v>110</v>
      </c>
      <c r="W31" s="24">
        <v>160</v>
      </c>
      <c r="X31" s="24">
        <v>160</v>
      </c>
      <c r="Y31" s="24">
        <v>260</v>
      </c>
      <c r="Z31" s="24">
        <v>260</v>
      </c>
      <c r="AA31" s="32">
        <v>110</v>
      </c>
      <c r="AB31" s="32">
        <v>110</v>
      </c>
      <c r="AC31" s="32">
        <v>160</v>
      </c>
      <c r="AD31" s="32">
        <v>160</v>
      </c>
      <c r="AE31" s="32">
        <v>260</v>
      </c>
      <c r="AF31" s="32">
        <v>260</v>
      </c>
      <c r="AG31" s="42">
        <v>260</v>
      </c>
      <c r="AH31" s="43" t="s">
        <v>31</v>
      </c>
      <c r="AI31" s="39"/>
    </row>
    <row r="32" s="12" customFormat="1" ht="14.25" spans="2:35">
      <c r="B32" s="25"/>
      <c r="C32" s="26"/>
      <c r="D32" s="26"/>
      <c r="E32" s="26"/>
      <c r="F32" s="26"/>
      <c r="G32" s="26"/>
      <c r="H32" s="26"/>
      <c r="I32" s="26"/>
      <c r="J32" s="26"/>
      <c r="K32" s="26"/>
      <c r="L32" s="33"/>
      <c r="M32" s="33"/>
      <c r="N32" s="33"/>
      <c r="O32" s="33"/>
      <c r="P32" s="33"/>
      <c r="Q32" s="33"/>
      <c r="R32" s="33"/>
      <c r="S32" s="33"/>
      <c r="T32" s="33"/>
      <c r="U32" s="26"/>
      <c r="V32" s="26"/>
      <c r="W32" s="26"/>
      <c r="X32" s="26"/>
      <c r="Y32" s="26"/>
      <c r="Z32" s="26"/>
      <c r="AA32" s="33"/>
      <c r="AB32" s="33"/>
      <c r="AC32" s="33"/>
      <c r="AD32" s="33"/>
      <c r="AE32" s="33"/>
      <c r="AF32" s="33"/>
      <c r="AG32" s="44"/>
      <c r="AH32" s="45"/>
      <c r="AI32" s="39"/>
    </row>
    <row r="33" spans="35:35">
      <c r="AI33" s="46"/>
    </row>
    <row r="34" spans="35:35">
      <c r="AI34" s="46"/>
    </row>
    <row r="35" ht="15.75" spans="2:35">
      <c r="B35" s="27" t="s">
        <v>15</v>
      </c>
      <c r="AI35" s="46"/>
    </row>
    <row r="36" spans="35:35">
      <c r="AI36" s="46"/>
    </row>
    <row r="37" spans="2:35">
      <c r="B37" s="28" t="s">
        <v>213</v>
      </c>
      <c r="AI37" s="46"/>
    </row>
    <row r="38" spans="35:35">
      <c r="AI38" s="46"/>
    </row>
    <row r="39" spans="35:35">
      <c r="AI39" s="46"/>
    </row>
  </sheetData>
  <sheetProtection password="DF21" sheet="1" selectLockedCells="1" objects="1" scenarios="1"/>
  <pageMargins left="0.699305555555556" right="0.699305555555556" top="0.75" bottom="0.75" header="0.3" footer="0.3"/>
  <pageSetup paperSize="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2:O55"/>
  <sheetViews>
    <sheetView workbookViewId="0">
      <selection activeCell="B2" sqref="B2"/>
    </sheetView>
  </sheetViews>
  <sheetFormatPr defaultColWidth="9" defaultRowHeight="15.75"/>
  <cols>
    <col min="1" max="1" width="4.28333333333333" style="2" customWidth="1"/>
    <col min="2" max="2" width="32" style="3" customWidth="1"/>
    <col min="3" max="4" width="9.14166666666667" style="2"/>
    <col min="5" max="5" width="24.2833333333333" style="3" customWidth="1"/>
    <col min="6" max="7" width="9.14166666666667" style="2"/>
    <col min="8" max="8" width="43.1416666666667" style="3" customWidth="1"/>
    <col min="9" max="11" width="9.14166666666667" style="2"/>
    <col min="12" max="12" width="16.7083333333333" style="3" customWidth="1"/>
    <col min="13" max="16384" width="9.14166666666667" style="2"/>
  </cols>
  <sheetData>
    <row r="2" s="1" customFormat="1" spans="2:11">
      <c r="B2" s="4" t="s">
        <v>60</v>
      </c>
      <c r="C2" s="5"/>
      <c r="D2" s="5"/>
      <c r="E2" s="4" t="s">
        <v>62</v>
      </c>
      <c r="F2" s="5"/>
      <c r="G2" s="5"/>
      <c r="H2" s="6" t="s">
        <v>64</v>
      </c>
      <c r="I2" s="5"/>
      <c r="J2" s="5"/>
      <c r="K2" s="5"/>
    </row>
    <row r="3" spans="2:11">
      <c r="B3" s="3" t="s">
        <v>61</v>
      </c>
      <c r="C3" s="7">
        <v>0</v>
      </c>
      <c r="D3" s="7"/>
      <c r="E3" s="3" t="s">
        <v>214</v>
      </c>
      <c r="F3" s="7">
        <v>0</v>
      </c>
      <c r="G3" s="7"/>
      <c r="H3" s="3" t="s">
        <v>65</v>
      </c>
      <c r="I3" s="7">
        <v>0</v>
      </c>
      <c r="J3" s="7"/>
      <c r="K3" s="7"/>
    </row>
    <row r="4" spans="2:11">
      <c r="B4" s="3" t="s">
        <v>215</v>
      </c>
      <c r="C4" s="7">
        <v>1</v>
      </c>
      <c r="D4" s="7"/>
      <c r="E4" s="3" t="s">
        <v>216</v>
      </c>
      <c r="F4" s="7">
        <v>1</v>
      </c>
      <c r="G4" s="7"/>
      <c r="H4" s="3" t="s">
        <v>216</v>
      </c>
      <c r="I4" s="7">
        <v>1</v>
      </c>
      <c r="J4" s="7"/>
      <c r="K4" s="7"/>
    </row>
    <row r="5" spans="2:11">
      <c r="B5" s="3" t="s">
        <v>217</v>
      </c>
      <c r="C5" s="7">
        <v>2</v>
      </c>
      <c r="D5" s="7"/>
      <c r="E5" s="3" t="s">
        <v>218</v>
      </c>
      <c r="F5" s="7">
        <v>2</v>
      </c>
      <c r="G5" s="7"/>
      <c r="H5" s="3" t="s">
        <v>218</v>
      </c>
      <c r="I5" s="7">
        <v>2</v>
      </c>
      <c r="J5" s="7"/>
      <c r="K5" s="7"/>
    </row>
    <row r="6" spans="2:7">
      <c r="B6" s="3" t="s">
        <v>219</v>
      </c>
      <c r="C6" s="7">
        <v>3</v>
      </c>
      <c r="D6" s="7"/>
      <c r="E6" s="3" t="s">
        <v>63</v>
      </c>
      <c r="F6" s="7">
        <v>3</v>
      </c>
      <c r="G6" s="7"/>
    </row>
    <row r="7" spans="5:7">
      <c r="E7" s="3" t="s">
        <v>220</v>
      </c>
      <c r="F7" s="7">
        <v>4</v>
      </c>
      <c r="G7" s="7"/>
    </row>
    <row r="8" spans="5:7">
      <c r="E8" s="3" t="s">
        <v>221</v>
      </c>
      <c r="F8" s="7">
        <v>5</v>
      </c>
      <c r="G8" s="7"/>
    </row>
    <row r="9" spans="6:7">
      <c r="F9" s="7"/>
      <c r="G9" s="7"/>
    </row>
    <row r="11" s="1" customFormat="1" spans="2:8">
      <c r="B11" s="6" t="s">
        <v>66</v>
      </c>
      <c r="E11" s="6" t="s">
        <v>68</v>
      </c>
      <c r="F11" s="8"/>
      <c r="G11" s="8"/>
      <c r="H11" s="6" t="s">
        <v>70</v>
      </c>
    </row>
    <row r="12" spans="2:14">
      <c r="B12" s="3" t="s">
        <v>63</v>
      </c>
      <c r="C12" s="7">
        <v>0</v>
      </c>
      <c r="E12" s="3" t="s">
        <v>222</v>
      </c>
      <c r="F12" s="7">
        <v>0</v>
      </c>
      <c r="G12" s="7"/>
      <c r="H12" s="3" t="s">
        <v>223</v>
      </c>
      <c r="I12" s="7">
        <v>0</v>
      </c>
      <c r="J12" s="7"/>
      <c r="N12" s="7"/>
    </row>
    <row r="13" spans="2:14">
      <c r="B13" s="3" t="s">
        <v>67</v>
      </c>
      <c r="C13" s="7">
        <v>1</v>
      </c>
      <c r="E13" s="3" t="s">
        <v>224</v>
      </c>
      <c r="F13" s="7">
        <v>1</v>
      </c>
      <c r="G13" s="7"/>
      <c r="H13" s="3" t="s">
        <v>71</v>
      </c>
      <c r="I13" s="7">
        <v>1</v>
      </c>
      <c r="J13" s="7"/>
      <c r="N13" s="7"/>
    </row>
    <row r="14" spans="2:14">
      <c r="B14" s="2"/>
      <c r="E14" s="3" t="s">
        <v>225</v>
      </c>
      <c r="F14" s="7">
        <v>2</v>
      </c>
      <c r="G14" s="7"/>
      <c r="H14" s="3" t="s">
        <v>226</v>
      </c>
      <c r="I14" s="7">
        <v>2</v>
      </c>
      <c r="J14" s="7"/>
      <c r="N14" s="7"/>
    </row>
    <row r="15" spans="2:14">
      <c r="B15" s="2"/>
      <c r="E15" s="3" t="s">
        <v>69</v>
      </c>
      <c r="F15" s="7">
        <v>3</v>
      </c>
      <c r="G15" s="7"/>
      <c r="N15" s="7"/>
    </row>
    <row r="16" spans="2:14">
      <c r="B16" s="2"/>
      <c r="N16" s="7"/>
    </row>
    <row r="18" s="1" customFormat="1" spans="2:8">
      <c r="B18" s="6" t="s">
        <v>74</v>
      </c>
      <c r="E18" s="6" t="s">
        <v>76</v>
      </c>
      <c r="H18" s="6" t="s">
        <v>78</v>
      </c>
    </row>
    <row r="19" spans="2:10">
      <c r="B19" s="3" t="s">
        <v>227</v>
      </c>
      <c r="C19" s="7">
        <v>0</v>
      </c>
      <c r="E19" s="3" t="s">
        <v>228</v>
      </c>
      <c r="F19" s="7">
        <v>0</v>
      </c>
      <c r="G19" s="7"/>
      <c r="H19" s="3" t="s">
        <v>79</v>
      </c>
      <c r="I19" s="7">
        <v>0</v>
      </c>
      <c r="J19" s="7"/>
    </row>
    <row r="20" spans="2:10">
      <c r="B20" s="3" t="s">
        <v>229</v>
      </c>
      <c r="C20" s="7">
        <v>1</v>
      </c>
      <c r="E20" s="3" t="s">
        <v>230</v>
      </c>
      <c r="F20" s="7">
        <v>1</v>
      </c>
      <c r="G20" s="7"/>
      <c r="H20" s="3" t="s">
        <v>231</v>
      </c>
      <c r="I20" s="7">
        <v>1</v>
      </c>
      <c r="J20" s="7"/>
    </row>
    <row r="21" spans="2:7">
      <c r="B21" s="3" t="s">
        <v>232</v>
      </c>
      <c r="C21" s="7">
        <v>2</v>
      </c>
      <c r="E21" s="3" t="s">
        <v>233</v>
      </c>
      <c r="F21" s="7">
        <v>2</v>
      </c>
      <c r="G21" s="7"/>
    </row>
    <row r="22" spans="2:7">
      <c r="B22" s="3" t="s">
        <v>234</v>
      </c>
      <c r="C22" s="7">
        <v>3</v>
      </c>
      <c r="E22" s="3" t="s">
        <v>77</v>
      </c>
      <c r="F22" s="7">
        <v>3</v>
      </c>
      <c r="G22" s="7"/>
    </row>
    <row r="23" spans="2:15">
      <c r="B23" s="3" t="s">
        <v>235</v>
      </c>
      <c r="C23" s="7">
        <v>4</v>
      </c>
      <c r="K23" s="3"/>
      <c r="L23" s="2"/>
      <c r="O23" s="3"/>
    </row>
    <row r="24" spans="2:15">
      <c r="B24" s="3" t="s">
        <v>236</v>
      </c>
      <c r="C24" s="7">
        <v>5</v>
      </c>
      <c r="E24" s="2"/>
      <c r="K24" s="3"/>
      <c r="L24" s="2"/>
      <c r="O24" s="3"/>
    </row>
    <row r="25" spans="2:3">
      <c r="B25" s="3" t="s">
        <v>75</v>
      </c>
      <c r="C25" s="7">
        <v>6</v>
      </c>
    </row>
    <row r="26" spans="2:3">
      <c r="B26" s="3" t="s">
        <v>237</v>
      </c>
      <c r="C26" s="7">
        <v>7</v>
      </c>
    </row>
    <row r="27" spans="2:2">
      <c r="B27" s="2"/>
    </row>
    <row r="28" spans="2:2">
      <c r="B28" s="2"/>
    </row>
    <row r="29" spans="2:7">
      <c r="B29" s="6" t="s">
        <v>80</v>
      </c>
      <c r="C29" s="1"/>
      <c r="E29" s="6" t="s">
        <v>72</v>
      </c>
      <c r="F29" s="1"/>
      <c r="G29" s="1"/>
    </row>
    <row r="30" spans="2:7">
      <c r="B30" s="3" t="s">
        <v>238</v>
      </c>
      <c r="C30" s="7">
        <v>0</v>
      </c>
      <c r="E30" s="3" t="s">
        <v>239</v>
      </c>
      <c r="F30" s="7">
        <v>2</v>
      </c>
      <c r="G30" s="7">
        <v>5</v>
      </c>
    </row>
    <row r="31" spans="2:7">
      <c r="B31" s="3" t="s">
        <v>240</v>
      </c>
      <c r="C31" s="7">
        <v>1</v>
      </c>
      <c r="E31" s="3" t="s">
        <v>241</v>
      </c>
      <c r="F31" s="7">
        <v>4</v>
      </c>
      <c r="G31" s="7">
        <v>6</v>
      </c>
    </row>
    <row r="32" spans="2:7">
      <c r="B32" s="3" t="s">
        <v>242</v>
      </c>
      <c r="C32" s="7">
        <v>2</v>
      </c>
      <c r="E32" s="3" t="s">
        <v>243</v>
      </c>
      <c r="F32" s="7">
        <v>6</v>
      </c>
      <c r="G32" s="7">
        <v>7</v>
      </c>
    </row>
    <row r="33" spans="2:7">
      <c r="B33" s="3" t="s">
        <v>81</v>
      </c>
      <c r="C33" s="7">
        <v>3</v>
      </c>
      <c r="E33" s="3" t="s">
        <v>244</v>
      </c>
      <c r="F33" s="7">
        <v>8</v>
      </c>
      <c r="G33" s="7">
        <v>8</v>
      </c>
    </row>
    <row r="34" spans="5:7">
      <c r="E34" s="3" t="s">
        <v>245</v>
      </c>
      <c r="F34" s="7">
        <v>10</v>
      </c>
      <c r="G34" s="7">
        <v>9</v>
      </c>
    </row>
    <row r="35" spans="5:7">
      <c r="E35" s="3" t="s">
        <v>246</v>
      </c>
      <c r="F35" s="7">
        <v>12</v>
      </c>
      <c r="G35" s="7">
        <v>10</v>
      </c>
    </row>
    <row r="36" spans="5:7">
      <c r="E36" s="3" t="s">
        <v>73</v>
      </c>
      <c r="F36" s="7">
        <v>14</v>
      </c>
      <c r="G36" s="7">
        <v>11</v>
      </c>
    </row>
    <row r="39" spans="2:8">
      <c r="B39" s="6" t="s">
        <v>85</v>
      </c>
      <c r="E39" s="1" t="s">
        <v>89</v>
      </c>
      <c r="F39" s="3"/>
      <c r="H39" s="1" t="s">
        <v>91</v>
      </c>
    </row>
    <row r="40" spans="2:9">
      <c r="B40" s="3" t="s">
        <v>86</v>
      </c>
      <c r="C40" s="2">
        <v>0</v>
      </c>
      <c r="E40" s="2" t="s">
        <v>90</v>
      </c>
      <c r="F40" s="3">
        <v>0</v>
      </c>
      <c r="H40" s="2" t="s">
        <v>92</v>
      </c>
      <c r="I40" s="2">
        <v>0</v>
      </c>
    </row>
    <row r="41" spans="2:9">
      <c r="B41" s="3" t="s">
        <v>247</v>
      </c>
      <c r="C41" s="2">
        <v>1</v>
      </c>
      <c r="E41" s="2" t="s">
        <v>248</v>
      </c>
      <c r="F41" s="3">
        <v>1</v>
      </c>
      <c r="H41" s="2" t="s">
        <v>249</v>
      </c>
      <c r="I41" s="2">
        <v>1</v>
      </c>
    </row>
    <row r="42" spans="8:9">
      <c r="H42" s="2" t="s">
        <v>250</v>
      </c>
      <c r="I42" s="2">
        <v>2</v>
      </c>
    </row>
    <row r="43" spans="2:9">
      <c r="B43" s="6" t="s">
        <v>87</v>
      </c>
      <c r="E43" s="2"/>
      <c r="H43" s="2" t="s">
        <v>251</v>
      </c>
      <c r="I43" s="2">
        <v>3</v>
      </c>
    </row>
    <row r="44" spans="2:9">
      <c r="B44" s="3" t="s">
        <v>88</v>
      </c>
      <c r="C44" s="2">
        <v>0</v>
      </c>
      <c r="E44" s="2"/>
      <c r="H44" s="2" t="s">
        <v>252</v>
      </c>
      <c r="I44" s="2">
        <v>4</v>
      </c>
    </row>
    <row r="45" spans="2:9">
      <c r="B45" s="3" t="s">
        <v>253</v>
      </c>
      <c r="C45" s="2">
        <v>1</v>
      </c>
      <c r="E45" s="2"/>
      <c r="H45" s="2" t="s">
        <v>249</v>
      </c>
      <c r="I45" s="2">
        <v>5</v>
      </c>
    </row>
    <row r="46" spans="8:9">
      <c r="H46" s="2" t="s">
        <v>250</v>
      </c>
      <c r="I46" s="2">
        <v>6</v>
      </c>
    </row>
    <row r="47" spans="8:9">
      <c r="H47" s="2" t="s">
        <v>251</v>
      </c>
      <c r="I47" s="2">
        <v>7</v>
      </c>
    </row>
    <row r="51" spans="2:2">
      <c r="B51" s="9"/>
    </row>
    <row r="55" spans="2:2">
      <c r="B55" s="10" t="s">
        <v>15</v>
      </c>
    </row>
  </sheetData>
  <sheetProtection password="DF21" sheet="1" selectLockedCells="1" objects="1" scenarios="1"/>
  <pageMargins left="0.75" right="0.75" top="1" bottom="1" header="0.5" footer="0.5"/>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Company>Texas Instruments Incorporated</Company>
  <Application>Microsoft Excel</Application>
  <HeadingPairs>
    <vt:vector size="2" baseType="variant">
      <vt:variant>
        <vt:lpstr>工作表</vt:lpstr>
      </vt:variant>
      <vt:variant>
        <vt:i4>6</vt:i4>
      </vt:variant>
    </vt:vector>
  </HeadingPairs>
  <TitlesOfParts>
    <vt:vector size="6" baseType="lpstr">
      <vt:lpstr>Notes</vt:lpstr>
      <vt:lpstr>Instructions</vt:lpstr>
      <vt:lpstr>Design_Parameters</vt:lpstr>
      <vt:lpstr>Registers</vt:lpstr>
      <vt:lpstr>Datasheet</vt:lpstr>
      <vt:lpstr>Lookup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a0271760</dc:creator>
  <cp:lastModifiedBy>Victor Elkonin</cp:lastModifiedBy>
  <dcterms:created xsi:type="dcterms:W3CDTF">2011-01-20T18:08:00Z</dcterms:created>
  <dcterms:modified xsi:type="dcterms:W3CDTF">2016-11-16T09:20:58Z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2052-10.1.0.6065</vt:lpwstr>
  </property>
</Properties>
</file>