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65" yWindow="-75" windowWidth="15480" windowHeight="11640" tabRatio="743" activeTab="2"/>
  </bookViews>
  <sheets>
    <sheet name="BOOST CP" sheetId="3" r:id="rId1"/>
    <sheet name="SEPIC CP" sheetId="4" r:id="rId2"/>
    <sheet name="Boost CC" sheetId="8" r:id="rId3"/>
    <sheet name="SEPIC CC" sheetId="7" r:id="rId4"/>
  </sheets>
  <calcPr calcId="145621"/>
</workbook>
</file>

<file path=xl/calcChain.xml><?xml version="1.0" encoding="utf-8"?>
<calcChain xmlns="http://schemas.openxmlformats.org/spreadsheetml/2006/main">
  <c r="O34" i="8" l="1"/>
  <c r="O27" i="8"/>
  <c r="E33" i="8" s="1"/>
  <c r="O35" i="8"/>
  <c r="O30" i="8"/>
  <c r="O28" i="8"/>
  <c r="O26" i="8"/>
  <c r="K47" i="8"/>
  <c r="K62" i="8" s="1"/>
  <c r="R50" i="8"/>
  <c r="R61" i="8" s="1"/>
  <c r="R62" i="8"/>
  <c r="R64" i="8"/>
  <c r="K64" i="8"/>
  <c r="R53" i="8"/>
  <c r="K53" i="8"/>
  <c r="O31" i="8" s="1"/>
  <c r="J27" i="8"/>
  <c r="J26" i="8"/>
  <c r="J36" i="8"/>
  <c r="J33" i="8"/>
  <c r="K57" i="8"/>
  <c r="E56" i="8"/>
  <c r="K50" i="8"/>
  <c r="J32" i="8"/>
  <c r="E29" i="8"/>
  <c r="J35" i="8" s="1"/>
  <c r="K50" i="7"/>
  <c r="J39" i="7" s="1"/>
  <c r="E31" i="7"/>
  <c r="K56" i="7" s="1"/>
  <c r="J40" i="7"/>
  <c r="K59" i="7"/>
  <c r="K53" i="7"/>
  <c r="R65" i="8" l="1"/>
  <c r="K51" i="8"/>
  <c r="R51" i="8"/>
  <c r="E30" i="8"/>
  <c r="K54" i="8" s="1"/>
  <c r="K55" i="8" s="1"/>
  <c r="O29" i="8"/>
  <c r="K61" i="8"/>
  <c r="O33" i="8" s="1"/>
  <c r="E31" i="8"/>
  <c r="J38" i="7"/>
  <c r="Q59" i="7" s="1"/>
  <c r="K57" i="7"/>
  <c r="E59" i="7"/>
  <c r="J32" i="7"/>
  <c r="J31" i="7"/>
  <c r="E30" i="7"/>
  <c r="J42" i="7" s="1"/>
  <c r="J26" i="7"/>
  <c r="O32" i="8" l="1"/>
  <c r="R54" i="8"/>
  <c r="O22" i="8"/>
  <c r="O23" i="8" s="1"/>
  <c r="O24" i="8" s="1"/>
  <c r="K58" i="8"/>
  <c r="K56" i="8"/>
  <c r="E49" i="8"/>
  <c r="E51" i="8"/>
  <c r="E50" i="8"/>
  <c r="K58" i="7"/>
  <c r="E34" i="7" s="1"/>
  <c r="E32" i="7"/>
  <c r="E54" i="7" s="1"/>
  <c r="K65" i="8" l="1"/>
  <c r="E34" i="8" s="1"/>
  <c r="E52" i="8"/>
  <c r="E53" i="8"/>
  <c r="E52" i="7"/>
  <c r="E56" i="7" s="1"/>
  <c r="E53" i="7"/>
  <c r="J34" i="7"/>
  <c r="J35" i="7" s="1"/>
  <c r="J36" i="7" s="1"/>
  <c r="J22" i="8" l="1"/>
  <c r="E55" i="7"/>
  <c r="J22" i="7" s="1"/>
  <c r="E57" i="7" s="1"/>
  <c r="J23" i="7" s="1"/>
  <c r="E55" i="8" l="1"/>
  <c r="E54" i="8"/>
  <c r="J29" i="8" s="1"/>
  <c r="E33" i="7"/>
  <c r="E58" i="7"/>
  <c r="J28" i="7"/>
  <c r="J25" i="7"/>
  <c r="E32" i="8" l="1"/>
  <c r="J25" i="8"/>
  <c r="J23" i="8"/>
  <c r="J31" i="4" l="1"/>
  <c r="J32" i="4"/>
  <c r="J31" i="3" l="1"/>
  <c r="J32" i="3"/>
  <c r="E55" i="3" l="1"/>
  <c r="E55" i="4"/>
  <c r="J39" i="4"/>
  <c r="J38" i="4"/>
  <c r="E31" i="4" s="1"/>
  <c r="E30" i="4"/>
  <c r="E32" i="4" s="1"/>
  <c r="E49" i="4" s="1"/>
  <c r="J26" i="4"/>
  <c r="J26" i="3"/>
  <c r="E30" i="3"/>
  <c r="E32" i="3" s="1"/>
  <c r="E49" i="3" s="1"/>
  <c r="J39" i="3"/>
  <c r="J38" i="3"/>
  <c r="E50" i="3" l="1"/>
  <c r="E48" i="3"/>
  <c r="E31" i="3"/>
  <c r="J34" i="3" s="1"/>
  <c r="J41" i="4"/>
  <c r="E48" i="4"/>
  <c r="E50" i="4"/>
  <c r="J34" i="4"/>
  <c r="J35" i="4" s="1"/>
  <c r="J36" i="4" s="1"/>
  <c r="J41" i="3"/>
  <c r="E51" i="3" l="1"/>
  <c r="E52" i="3"/>
  <c r="E51" i="4"/>
  <c r="E52" i="4"/>
  <c r="J35" i="3"/>
  <c r="J36" i="3" s="1"/>
  <c r="J22" i="4" l="1"/>
  <c r="E53" i="4" s="1"/>
  <c r="J22" i="3"/>
  <c r="J28" i="4" l="1"/>
  <c r="E33" i="4"/>
  <c r="E54" i="4"/>
  <c r="J23" i="4"/>
  <c r="J25" i="4"/>
  <c r="E54" i="3"/>
  <c r="E53" i="3"/>
  <c r="J23" i="3" s="1"/>
  <c r="E33" i="3" l="1"/>
  <c r="J28" i="3"/>
  <c r="J25" i="3"/>
</calcChain>
</file>

<file path=xl/sharedStrings.xml><?xml version="1.0" encoding="utf-8"?>
<sst xmlns="http://schemas.openxmlformats.org/spreadsheetml/2006/main" count="499" uniqueCount="129">
  <si>
    <t>Output Power</t>
  </si>
  <si>
    <t>Input Voltage</t>
  </si>
  <si>
    <t>Nominal Input Current</t>
  </si>
  <si>
    <t>V</t>
  </si>
  <si>
    <t>A</t>
  </si>
  <si>
    <t>W</t>
  </si>
  <si>
    <t>Switching Frequency</t>
  </si>
  <si>
    <t>kHz</t>
  </si>
  <si>
    <t>%</t>
  </si>
  <si>
    <t>Inductance</t>
  </si>
  <si>
    <t>Power rating</t>
  </si>
  <si>
    <t>Main Switch (Q1)</t>
  </si>
  <si>
    <t>Ω</t>
  </si>
  <si>
    <t>μH</t>
  </si>
  <si>
    <t>Inductor (L1)</t>
  </si>
  <si>
    <t>μF</t>
  </si>
  <si>
    <r>
      <t>R</t>
    </r>
    <r>
      <rPr>
        <b/>
        <vertAlign val="subscript"/>
        <sz val="11"/>
        <color theme="1"/>
        <rFont val="Calibri"/>
        <family val="2"/>
        <scheme val="minor"/>
      </rPr>
      <t>SEN</t>
    </r>
  </si>
  <si>
    <t>Electrical Requirements</t>
  </si>
  <si>
    <t>Circuit Parameters</t>
  </si>
  <si>
    <r>
      <t>R</t>
    </r>
    <r>
      <rPr>
        <b/>
        <vertAlign val="subscript"/>
        <sz val="11"/>
        <color theme="1"/>
        <rFont val="Calibri"/>
        <family val="2"/>
        <scheme val="minor"/>
      </rPr>
      <t>ADJ2</t>
    </r>
  </si>
  <si>
    <r>
      <t>V</t>
    </r>
    <r>
      <rPr>
        <b/>
        <vertAlign val="subscript"/>
        <sz val="11"/>
        <color theme="1"/>
        <rFont val="Calibri"/>
        <family val="2"/>
        <scheme val="minor"/>
      </rPr>
      <t>SEN</t>
    </r>
    <r>
      <rPr>
        <b/>
        <sz val="11"/>
        <color theme="1"/>
        <rFont val="Calibri"/>
        <family val="2"/>
        <scheme val="minor"/>
      </rPr>
      <t xml:space="preserve"> In Steady State</t>
    </r>
  </si>
  <si>
    <t>Suggested Value of Key Components</t>
  </si>
  <si>
    <t>Output Voltage Divider</t>
  </si>
  <si>
    <t>Output Capacitor</t>
  </si>
  <si>
    <r>
      <t>I</t>
    </r>
    <r>
      <rPr>
        <b/>
        <vertAlign val="subscript"/>
        <sz val="11"/>
        <color theme="1"/>
        <rFont val="Calibri"/>
        <family val="2"/>
        <scheme val="minor"/>
      </rPr>
      <t>SAT</t>
    </r>
  </si>
  <si>
    <r>
      <t>I</t>
    </r>
    <r>
      <rPr>
        <b/>
        <vertAlign val="subscript"/>
        <sz val="11"/>
        <color theme="1"/>
        <rFont val="Calibri"/>
        <family val="2"/>
        <scheme val="minor"/>
      </rPr>
      <t>DRAIN</t>
    </r>
  </si>
  <si>
    <r>
      <t>V</t>
    </r>
    <r>
      <rPr>
        <b/>
        <vertAlign val="subscript"/>
        <sz val="11"/>
        <color theme="1"/>
        <rFont val="Calibri"/>
        <family val="2"/>
        <scheme val="minor"/>
      </rPr>
      <t>DS</t>
    </r>
  </si>
  <si>
    <r>
      <t>I</t>
    </r>
    <r>
      <rPr>
        <b/>
        <vertAlign val="subscript"/>
        <sz val="11"/>
        <color theme="1"/>
        <rFont val="Calibri"/>
        <family val="2"/>
        <scheme val="minor"/>
      </rPr>
      <t>FORWARD</t>
    </r>
  </si>
  <si>
    <r>
      <t>V</t>
    </r>
    <r>
      <rPr>
        <b/>
        <vertAlign val="subscript"/>
        <sz val="11"/>
        <color theme="1"/>
        <rFont val="Calibri"/>
        <family val="2"/>
        <scheme val="minor"/>
      </rPr>
      <t>REVERSE</t>
    </r>
  </si>
  <si>
    <r>
      <t>Value of R</t>
    </r>
    <r>
      <rPr>
        <b/>
        <vertAlign val="subscript"/>
        <sz val="11"/>
        <color theme="1"/>
        <rFont val="Calibri"/>
        <family val="2"/>
        <scheme val="minor"/>
      </rPr>
      <t>SEN</t>
    </r>
  </si>
  <si>
    <t>Package</t>
  </si>
  <si>
    <r>
      <t>R</t>
    </r>
    <r>
      <rPr>
        <b/>
        <vertAlign val="subscript"/>
        <sz val="11"/>
        <color theme="1"/>
        <rFont val="Calibri"/>
        <family val="2"/>
        <scheme val="minor"/>
      </rPr>
      <t>ADJ1</t>
    </r>
  </si>
  <si>
    <r>
      <t>C</t>
    </r>
    <r>
      <rPr>
        <b/>
        <vertAlign val="subscript"/>
        <sz val="11"/>
        <color theme="1"/>
        <rFont val="Calibri"/>
        <family val="2"/>
        <scheme val="minor"/>
      </rPr>
      <t>OUT</t>
    </r>
    <r>
      <rPr>
        <b/>
        <sz val="11"/>
        <color theme="1"/>
        <rFont val="Calibri"/>
        <family val="2"/>
        <scheme val="minor"/>
      </rPr>
      <t xml:space="preserve"> (E.cap.)</t>
    </r>
  </si>
  <si>
    <t>Average LED Current</t>
  </si>
  <si>
    <t>Switching Preiod</t>
  </si>
  <si>
    <t>S</t>
  </si>
  <si>
    <t>Diode forward voltage</t>
  </si>
  <si>
    <t>AC-FET resistance</t>
  </si>
  <si>
    <r>
      <t>MOSFET R</t>
    </r>
    <r>
      <rPr>
        <vertAlign val="subscript"/>
        <sz val="11"/>
        <color theme="1"/>
        <rFont val="Calibri"/>
        <family val="2"/>
        <scheme val="minor"/>
      </rPr>
      <t>DS(ON)</t>
    </r>
  </si>
  <si>
    <t>Inductor DCR</t>
  </si>
  <si>
    <r>
      <t>Volt. across inductor R</t>
    </r>
    <r>
      <rPr>
        <vertAlign val="subscript"/>
        <sz val="11"/>
        <color theme="1"/>
        <rFont val="Calibri"/>
        <family val="2"/>
        <scheme val="minor"/>
      </rPr>
      <t>DC</t>
    </r>
  </si>
  <si>
    <r>
      <t>Volt. across MOSFET R</t>
    </r>
    <r>
      <rPr>
        <vertAlign val="subscript"/>
        <sz val="11"/>
        <color theme="1"/>
        <rFont val="Calibri"/>
        <family val="2"/>
        <scheme val="minor"/>
      </rPr>
      <t>DS(ON)</t>
    </r>
  </si>
  <si>
    <t>Volt. across one AC-FET</t>
  </si>
  <si>
    <r>
      <t>V</t>
    </r>
    <r>
      <rPr>
        <vertAlign val="subscript"/>
        <sz val="11"/>
        <color theme="1"/>
        <rFont val="Calibri"/>
        <family val="2"/>
        <scheme val="minor"/>
      </rPr>
      <t>L</t>
    </r>
    <r>
      <rPr>
        <sz val="11"/>
        <color theme="1"/>
        <rFont val="Calibri"/>
        <family val="2"/>
        <scheme val="minor"/>
      </rPr>
      <t xml:space="preserve"> (ON)</t>
    </r>
  </si>
  <si>
    <r>
      <t>V</t>
    </r>
    <r>
      <rPr>
        <vertAlign val="subscript"/>
        <sz val="11"/>
        <color theme="1"/>
        <rFont val="Calibri"/>
        <family val="2"/>
        <scheme val="minor"/>
      </rPr>
      <t>L</t>
    </r>
    <r>
      <rPr>
        <sz val="11"/>
        <color theme="1"/>
        <rFont val="Calibri"/>
        <family val="2"/>
        <scheme val="minor"/>
      </rPr>
      <t xml:space="preserve"> (OFF)</t>
    </r>
  </si>
  <si>
    <t>Hidden parameters for calculation</t>
  </si>
  <si>
    <t>ON time</t>
  </si>
  <si>
    <t>OFF time</t>
  </si>
  <si>
    <t>Peak Inductor Current</t>
  </si>
  <si>
    <t xml:space="preserve"> </t>
  </si>
  <si>
    <t>LED Forward Voltage (&lt;42V)</t>
  </si>
  <si>
    <t>OVP Threshold (&lt;42V)</t>
  </si>
  <si>
    <t>Increase OVP Threshold to avoid OVP in steady state</t>
  </si>
  <si>
    <t>Input Rectifiers (D1, D2)</t>
  </si>
  <si>
    <t>Rectifier (D3)</t>
  </si>
  <si>
    <t>TPS92560 Calculator for Boost</t>
  </si>
  <si>
    <t xml:space="preserve">Date: </t>
  </si>
  <si>
    <t>Rectifiers (D3)</t>
  </si>
  <si>
    <t>TPS92560 Calculator for SEPIC</t>
  </si>
  <si>
    <t>Estimated efficiency</t>
  </si>
  <si>
    <t>IFB @ OVP</t>
  </si>
  <si>
    <t>VIN (min)</t>
  </si>
  <si>
    <t>VADJ @ VIN (min)</t>
  </si>
  <si>
    <t>VSEN in steady state change formula</t>
  </si>
  <si>
    <t>V431 @ VIN (min)</t>
  </si>
  <si>
    <t>I431 @ VIN (min)</t>
  </si>
  <si>
    <t>I431 (min)</t>
  </si>
  <si>
    <t>Delete OVP input</t>
  </si>
  <si>
    <r>
      <t>R</t>
    </r>
    <r>
      <rPr>
        <b/>
        <vertAlign val="subscript"/>
        <sz val="11"/>
        <color theme="1"/>
        <rFont val="Calibri"/>
        <family val="2"/>
        <scheme val="minor"/>
      </rPr>
      <t>3</t>
    </r>
  </si>
  <si>
    <r>
      <t>R</t>
    </r>
    <r>
      <rPr>
        <b/>
        <vertAlign val="subscript"/>
        <sz val="11"/>
        <color theme="1"/>
        <rFont val="Calibri"/>
        <family val="2"/>
        <scheme val="minor"/>
      </rPr>
      <t>9</t>
    </r>
  </si>
  <si>
    <r>
      <t>R</t>
    </r>
    <r>
      <rPr>
        <b/>
        <vertAlign val="subscript"/>
        <sz val="11"/>
        <color theme="1"/>
        <rFont val="Calibri"/>
        <family val="2"/>
        <scheme val="minor"/>
      </rPr>
      <t>2</t>
    </r>
  </si>
  <si>
    <t>IFB</t>
  </si>
  <si>
    <t>V431</t>
  </si>
  <si>
    <t>I431</t>
  </si>
  <si>
    <r>
      <t>R</t>
    </r>
    <r>
      <rPr>
        <b/>
        <vertAlign val="subscript"/>
        <sz val="11"/>
        <color theme="1"/>
        <rFont val="Calibri"/>
        <family val="2"/>
        <scheme val="minor"/>
      </rPr>
      <t>7</t>
    </r>
  </si>
  <si>
    <t>R6</t>
  </si>
  <si>
    <t>R5</t>
  </si>
  <si>
    <t>Add OVP @ LED open</t>
  </si>
  <si>
    <t>Add OVP @ LED operating</t>
  </si>
  <si>
    <t>Add R9, R2, R7</t>
  </si>
  <si>
    <t>Hidden parameters for calculation of 431 circuit</t>
  </si>
  <si>
    <t>IFB @ VIN (min)</t>
  </si>
  <si>
    <t>Estimated OVP @ LED open</t>
  </si>
  <si>
    <t>Inductor (L1, L2)</t>
  </si>
  <si>
    <t xml:space="preserve">VIN (min): lowest input voltage </t>
  </si>
  <si>
    <r>
      <t>C</t>
    </r>
    <r>
      <rPr>
        <b/>
        <vertAlign val="subscript"/>
        <sz val="11"/>
        <color theme="1"/>
        <rFont val="Calibri"/>
        <family val="2"/>
        <scheme val="minor"/>
      </rPr>
      <t>9</t>
    </r>
    <r>
      <rPr>
        <b/>
        <sz val="11"/>
        <color theme="1"/>
        <rFont val="Calibri"/>
        <family val="2"/>
        <scheme val="minor"/>
      </rPr>
      <t xml:space="preserve"> (E.cap.)</t>
    </r>
  </si>
  <si>
    <t>Estimated Efficiency</t>
  </si>
  <si>
    <t>OVP Threshold</t>
  </si>
  <si>
    <t>C7 (E.cap.)</t>
  </si>
  <si>
    <t>Rated voltage</t>
  </si>
  <si>
    <r>
      <t>R</t>
    </r>
    <r>
      <rPr>
        <b/>
        <vertAlign val="subscript"/>
        <sz val="11"/>
        <color theme="1"/>
        <rFont val="Calibri"/>
        <family val="2"/>
        <scheme val="minor"/>
      </rPr>
      <t>5</t>
    </r>
  </si>
  <si>
    <t>Average LED Current (&gt;20mA)</t>
  </si>
  <si>
    <t>nC</t>
  </si>
  <si>
    <t>(Constant Current)</t>
  </si>
  <si>
    <t>(Constant Power)</t>
  </si>
  <si>
    <t>Hidden parameters for calculation of HV circuit</t>
  </si>
  <si>
    <t>Hidden parameters for calculation of LV circuit</t>
  </si>
  <si>
    <t>Result</t>
  </si>
  <si>
    <r>
      <t>R</t>
    </r>
    <r>
      <rPr>
        <b/>
        <vertAlign val="subscript"/>
        <sz val="11"/>
        <color theme="1"/>
        <rFont val="Calibri"/>
        <family val="2"/>
        <scheme val="minor"/>
      </rPr>
      <t>11</t>
    </r>
  </si>
  <si>
    <r>
      <t>Value of R</t>
    </r>
    <r>
      <rPr>
        <b/>
        <vertAlign val="subscript"/>
        <sz val="11"/>
        <color theme="1"/>
        <rFont val="Calibri"/>
        <family val="2"/>
        <scheme val="minor"/>
      </rPr>
      <t>4</t>
    </r>
  </si>
  <si>
    <t>Sensing Resistors</t>
  </si>
  <si>
    <t>Input Rectifiers (D2, D3)</t>
  </si>
  <si>
    <t>Rectifier (D1)</t>
  </si>
  <si>
    <r>
      <t>R</t>
    </r>
    <r>
      <rPr>
        <b/>
        <vertAlign val="subscript"/>
        <sz val="11"/>
        <color theme="1"/>
        <rFont val="Calibri"/>
        <family val="2"/>
        <scheme val="minor"/>
      </rPr>
      <t>10</t>
    </r>
  </si>
  <si>
    <r>
      <t>C</t>
    </r>
    <r>
      <rPr>
        <b/>
        <vertAlign val="subscript"/>
        <sz val="11"/>
        <color theme="1"/>
        <rFont val="Calibri"/>
        <family val="2"/>
        <scheme val="minor"/>
      </rPr>
      <t>6</t>
    </r>
  </si>
  <si>
    <t>nF</t>
  </si>
  <si>
    <r>
      <t>D</t>
    </r>
    <r>
      <rPr>
        <b/>
        <vertAlign val="subscript"/>
        <sz val="11"/>
        <color theme="1"/>
        <rFont val="Calibri"/>
        <family val="2"/>
        <scheme val="minor"/>
      </rPr>
      <t>7</t>
    </r>
  </si>
  <si>
    <t>Other Components</t>
  </si>
  <si>
    <t>V431 @ I431 (min)</t>
  </si>
  <si>
    <r>
      <t>V</t>
    </r>
    <r>
      <rPr>
        <vertAlign val="subscript"/>
        <sz val="11"/>
        <color theme="1"/>
        <rFont val="Calibri"/>
        <family val="2"/>
        <scheme val="minor"/>
      </rPr>
      <t>SEN</t>
    </r>
    <r>
      <rPr>
        <sz val="11"/>
        <color theme="1"/>
        <rFont val="Calibri"/>
        <family val="2"/>
        <scheme val="minor"/>
      </rPr>
      <t xml:space="preserve"> In Steady State</t>
    </r>
  </si>
  <si>
    <t>VOVP</t>
  </si>
  <si>
    <r>
      <t>R</t>
    </r>
    <r>
      <rPr>
        <vertAlign val="subscript"/>
        <sz val="11"/>
        <color theme="1"/>
        <rFont val="Calibri"/>
        <family val="2"/>
        <scheme val="minor"/>
      </rPr>
      <t>9</t>
    </r>
  </si>
  <si>
    <r>
      <t>R</t>
    </r>
    <r>
      <rPr>
        <vertAlign val="subscript"/>
        <sz val="11"/>
        <color theme="1"/>
        <rFont val="Calibri"/>
        <family val="2"/>
        <scheme val="minor"/>
      </rPr>
      <t>2</t>
    </r>
  </si>
  <si>
    <r>
      <t>R</t>
    </r>
    <r>
      <rPr>
        <vertAlign val="subscript"/>
        <sz val="11"/>
        <color theme="1"/>
        <rFont val="Calibri"/>
        <family val="2"/>
        <scheme val="minor"/>
      </rPr>
      <t>3</t>
    </r>
  </si>
  <si>
    <t>VADJ @ I431 (min)</t>
  </si>
  <si>
    <r>
      <t>D</t>
    </r>
    <r>
      <rPr>
        <b/>
        <vertAlign val="subscript"/>
        <sz val="11"/>
        <color theme="1"/>
        <rFont val="Calibri"/>
        <family val="2"/>
        <scheme val="minor"/>
      </rPr>
      <t>8</t>
    </r>
  </si>
  <si>
    <t>LED Forward Voltage (&lt;70V)</t>
  </si>
  <si>
    <t>VP powered by output/input</t>
  </si>
  <si>
    <t>Optional Zener for OVP</t>
  </si>
  <si>
    <t>Other parameters</t>
  </si>
  <si>
    <t>R7</t>
  </si>
  <si>
    <t>Optional components</t>
  </si>
  <si>
    <r>
      <t>OVP Threshold</t>
    </r>
    <r>
      <rPr>
        <b/>
        <sz val="10"/>
        <color theme="2"/>
        <rFont val="Calibri"/>
        <family val="2"/>
        <scheme val="minor"/>
      </rPr>
      <t xml:space="preserve"> (without R</t>
    </r>
    <r>
      <rPr>
        <b/>
        <vertAlign val="subscript"/>
        <sz val="10"/>
        <color theme="2"/>
        <rFont val="Calibri"/>
        <family val="2"/>
        <scheme val="minor"/>
      </rPr>
      <t>10</t>
    </r>
    <r>
      <rPr>
        <b/>
        <sz val="10"/>
        <color theme="2"/>
        <rFont val="Calibri"/>
        <family val="2"/>
        <scheme val="minor"/>
      </rPr>
      <t>, D</t>
    </r>
    <r>
      <rPr>
        <b/>
        <vertAlign val="subscript"/>
        <sz val="10"/>
        <color theme="2"/>
        <rFont val="Calibri"/>
        <family val="2"/>
        <scheme val="minor"/>
      </rPr>
      <t>7</t>
    </r>
    <r>
      <rPr>
        <b/>
        <sz val="10"/>
        <color theme="2"/>
        <rFont val="Calibri"/>
        <family val="2"/>
        <scheme val="minor"/>
      </rPr>
      <t>)</t>
    </r>
  </si>
  <si>
    <t>Input Voltage (8V-16V)</t>
  </si>
  <si>
    <t>Two external diodes (of the same type of D2, D3) connecting from PGND to respectively the AC1 and AC2 pins are needed to bypass integrated transistors due to high input current.  Proper heat sinking is required.</t>
  </si>
  <si>
    <r>
      <t>Q</t>
    </r>
    <r>
      <rPr>
        <b/>
        <vertAlign val="subscript"/>
        <sz val="11"/>
        <color theme="1"/>
        <rFont val="Calibri"/>
        <family val="2"/>
        <scheme val="minor"/>
      </rPr>
      <t>G(max. allow)</t>
    </r>
  </si>
  <si>
    <t>Two external diodes (of the same type of D1, D2) connecting from PGND to respectively the AC1 and AC2 pins are needed to bypass integrated transistors due to high input current.  Proper heat sinking is required.</t>
  </si>
  <si>
    <t>Rev: 2.3</t>
  </si>
  <si>
    <t>Rev: 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</si>
</sst>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
    <numFmt numFmtId="166" formatCode="0.000"/>
  </numFmts>
  <fonts count="12" x14ac:knownFonts="1">
    <font>
      <sz val="11"/>
      <color theme="1"/>
      <name val="Calibri"/>
      <family val="2"/>
      <scheme val="minor"/>
    </font>
    <font>
      <b/>
      <sz val="11"/>
      <color theme="1"/>
      <name val="Calibri"/>
      <family val="2"/>
      <scheme val="minor"/>
    </font>
    <font>
      <sz val="11"/>
      <color theme="1"/>
      <name val="Arial"/>
      <family val="2"/>
    </font>
    <font>
      <b/>
      <vertAlign val="subscript"/>
      <sz val="11"/>
      <color theme="1"/>
      <name val="Calibri"/>
      <family val="2"/>
      <scheme val="minor"/>
    </font>
    <font>
      <b/>
      <sz val="14"/>
      <color theme="1"/>
      <name val="Calibri"/>
      <family val="2"/>
      <scheme val="minor"/>
    </font>
    <font>
      <vertAlign val="subscript"/>
      <sz val="11"/>
      <color theme="1"/>
      <name val="Calibri"/>
      <family val="2"/>
      <scheme val="minor"/>
    </font>
    <font>
      <b/>
      <sz val="11"/>
      <color theme="0"/>
      <name val="Calibri"/>
      <family val="2"/>
      <scheme val="minor"/>
    </font>
    <font>
      <sz val="11"/>
      <color theme="0"/>
      <name val="Calibri"/>
      <family val="2"/>
      <scheme val="minor"/>
    </font>
    <font>
      <b/>
      <sz val="11"/>
      <color theme="2"/>
      <name val="Calibri"/>
      <family val="2"/>
      <scheme val="minor"/>
    </font>
    <font>
      <sz val="11"/>
      <color theme="2"/>
      <name val="Calibri"/>
      <family val="2"/>
      <scheme val="minor"/>
    </font>
    <font>
      <b/>
      <sz val="10"/>
      <color theme="2"/>
      <name val="Calibri"/>
      <family val="2"/>
      <scheme val="minor"/>
    </font>
    <font>
      <b/>
      <vertAlign val="subscript"/>
      <sz val="10"/>
      <color theme="2"/>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ECF1F8"/>
        <bgColor indexed="64"/>
      </patternFill>
    </fill>
    <fill>
      <patternFill patternType="solid">
        <fgColor theme="2"/>
        <bgColor indexed="64"/>
      </patternFill>
    </fill>
    <fill>
      <patternFill patternType="solid">
        <fgColor rgb="FFFFFF00"/>
        <bgColor indexed="64"/>
      </patternFill>
    </fill>
    <fill>
      <patternFill patternType="solid">
        <fgColor rgb="FFEAF1DD"/>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89">
    <xf numFmtId="0" fontId="0" fillId="0" borderId="0" xfId="0"/>
    <xf numFmtId="0" fontId="0" fillId="0" borderId="0" xfId="0" applyProtection="1"/>
    <xf numFmtId="0" fontId="0" fillId="6" borderId="3" xfId="0" applyFill="1" applyBorder="1" applyAlignment="1" applyProtection="1">
      <alignment horizontal="center" vertical="center"/>
    </xf>
    <xf numFmtId="2" fontId="0" fillId="0" borderId="1" xfId="0" applyNumberFormat="1" applyBorder="1" applyAlignment="1" applyProtection="1">
      <alignment horizontal="center" vertical="center"/>
    </xf>
    <xf numFmtId="0" fontId="0" fillId="0" borderId="3" xfId="0" applyBorder="1" applyAlignment="1" applyProtection="1">
      <alignment horizontal="center" vertical="center"/>
    </xf>
    <xf numFmtId="165" fontId="0" fillId="0" borderId="1" xfId="0" applyNumberFormat="1" applyBorder="1" applyAlignment="1" applyProtection="1">
      <alignment horizontal="center"/>
    </xf>
    <xf numFmtId="0" fontId="2" fillId="6" borderId="3" xfId="0" applyFont="1" applyFill="1" applyBorder="1" applyAlignment="1" applyProtection="1">
      <alignment horizontal="center" vertical="center"/>
    </xf>
    <xf numFmtId="2" fontId="0" fillId="0" borderId="1" xfId="0" applyNumberFormat="1" applyBorder="1" applyAlignment="1" applyProtection="1">
      <alignment horizontal="center"/>
    </xf>
    <xf numFmtId="0" fontId="0" fillId="6" borderId="6" xfId="0" applyFill="1" applyBorder="1" applyAlignment="1" applyProtection="1">
      <alignment horizontal="center" vertical="center"/>
    </xf>
    <xf numFmtId="2" fontId="0" fillId="0" borderId="0" xfId="0" applyNumberFormat="1" applyAlignment="1" applyProtection="1">
      <alignment horizontal="center" vertical="center"/>
    </xf>
    <xf numFmtId="0" fontId="0" fillId="0" borderId="1" xfId="0" applyBorder="1" applyAlignment="1" applyProtection="1">
      <alignment horizontal="center"/>
    </xf>
    <xf numFmtId="0" fontId="2" fillId="0" borderId="3" xfId="0" applyFont="1" applyBorder="1" applyAlignment="1" applyProtection="1">
      <alignment horizontal="center" vertical="center"/>
    </xf>
    <xf numFmtId="164" fontId="0" fillId="0" borderId="1"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5" xfId="0" applyBorder="1" applyAlignment="1" applyProtection="1">
      <alignment horizontal="center"/>
    </xf>
    <xf numFmtId="0" fontId="0" fillId="0" borderId="6" xfId="0" applyBorder="1" applyAlignment="1" applyProtection="1">
      <alignment horizontal="center" vertical="center"/>
    </xf>
    <xf numFmtId="2"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Alignment="1" applyProtection="1"/>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xf>
    <xf numFmtId="2" fontId="0" fillId="0" borderId="0" xfId="0" applyNumberFormat="1" applyAlignment="1" applyProtection="1">
      <alignment horizontal="center"/>
    </xf>
    <xf numFmtId="2" fontId="2" fillId="7" borderId="3" xfId="0" applyNumberFormat="1" applyFont="1" applyFill="1" applyBorder="1" applyAlignment="1" applyProtection="1">
      <alignment horizontal="center" vertical="center"/>
    </xf>
    <xf numFmtId="2" fontId="0" fillId="7" borderId="1" xfId="0" applyNumberFormat="1" applyFill="1" applyBorder="1" applyAlignment="1" applyProtection="1">
      <alignment horizontal="center" vertical="center"/>
    </xf>
    <xf numFmtId="166" fontId="0" fillId="7" borderId="1" xfId="0" applyNumberFormat="1" applyFill="1" applyBorder="1" applyAlignment="1" applyProtection="1">
      <alignment horizontal="center" vertical="center"/>
    </xf>
    <xf numFmtId="0" fontId="0" fillId="7" borderId="1" xfId="0" applyFill="1" applyBorder="1" applyAlignment="1" applyProtection="1">
      <alignment horizontal="center" vertical="center"/>
    </xf>
    <xf numFmtId="0" fontId="0" fillId="7" borderId="3" xfId="0" applyFill="1" applyBorder="1" applyAlignment="1" applyProtection="1">
      <alignment horizontal="center" vertical="center"/>
    </xf>
    <xf numFmtId="0" fontId="0" fillId="7" borderId="5" xfId="0" applyFill="1" applyBorder="1" applyAlignment="1" applyProtection="1">
      <alignment horizontal="center" vertical="center"/>
    </xf>
    <xf numFmtId="0" fontId="0" fillId="7" borderId="6" xfId="0" applyFill="1" applyBorder="1" applyAlignment="1" applyProtection="1">
      <alignment horizontal="center" vertical="center"/>
    </xf>
    <xf numFmtId="2" fontId="0" fillId="9" borderId="1" xfId="0" applyNumberFormat="1" applyFill="1" applyBorder="1" applyAlignment="1" applyProtection="1">
      <alignment horizontal="center" vertical="center"/>
    </xf>
    <xf numFmtId="0" fontId="0" fillId="9" borderId="3" xfId="0" applyFill="1" applyBorder="1" applyAlignment="1" applyProtection="1">
      <alignment horizontal="center" vertical="center"/>
    </xf>
    <xf numFmtId="2" fontId="0" fillId="9" borderId="5" xfId="0" applyNumberFormat="1" applyFill="1" applyBorder="1" applyAlignment="1" applyProtection="1">
      <alignment horizontal="center" vertical="center"/>
    </xf>
    <xf numFmtId="0" fontId="0" fillId="9" borderId="6" xfId="0" applyFill="1" applyBorder="1" applyAlignment="1" applyProtection="1">
      <alignment horizontal="center" vertical="center"/>
    </xf>
    <xf numFmtId="2" fontId="0" fillId="9" borderId="10" xfId="0" applyNumberFormat="1" applyFill="1" applyBorder="1" applyAlignment="1" applyProtection="1">
      <alignment horizontal="center" vertical="center"/>
    </xf>
    <xf numFmtId="0" fontId="0" fillId="9" borderId="11" xfId="0" applyFill="1" applyBorder="1" applyAlignment="1" applyProtection="1">
      <alignment horizontal="center" vertical="center"/>
    </xf>
    <xf numFmtId="0" fontId="0" fillId="6" borderId="11" xfId="0" applyFill="1" applyBorder="1" applyAlignment="1" applyProtection="1">
      <alignment horizontal="center" vertical="center"/>
    </xf>
    <xf numFmtId="2" fontId="0" fillId="7" borderId="10" xfId="0" applyNumberFormat="1" applyFill="1" applyBorder="1" applyAlignment="1" applyProtection="1">
      <alignment horizontal="center" vertical="center"/>
    </xf>
    <xf numFmtId="2" fontId="0" fillId="7" borderId="11" xfId="0" applyNumberFormat="1" applyFill="1" applyBorder="1" applyAlignment="1" applyProtection="1">
      <alignment horizontal="center" vertical="center"/>
    </xf>
    <xf numFmtId="0" fontId="0" fillId="0" borderId="0" xfId="0" applyAlignment="1" applyProtection="1">
      <alignment horizontal="right"/>
    </xf>
    <xf numFmtId="14" fontId="0" fillId="0" borderId="0" xfId="0" applyNumberFormat="1" applyAlignment="1" applyProtection="1">
      <alignment horizontal="left"/>
    </xf>
    <xf numFmtId="2" fontId="0" fillId="8" borderId="10" xfId="0" applyNumberFormat="1" applyFill="1" applyBorder="1" applyAlignment="1" applyProtection="1">
      <alignment horizontal="center" vertical="center"/>
      <protection locked="0"/>
    </xf>
    <xf numFmtId="2" fontId="0" fillId="8" borderId="1" xfId="0" applyNumberFormat="1" applyFill="1" applyBorder="1" applyAlignment="1" applyProtection="1">
      <alignment horizontal="center" vertical="center"/>
      <protection locked="0"/>
    </xf>
    <xf numFmtId="0" fontId="0" fillId="8" borderId="0" xfId="0" applyFill="1" applyAlignment="1" applyProtection="1">
      <alignment horizontal="center"/>
      <protection locked="0"/>
    </xf>
    <xf numFmtId="0" fontId="0" fillId="8" borderId="1" xfId="0" applyFill="1" applyBorder="1" applyAlignment="1" applyProtection="1">
      <alignment horizontal="center"/>
      <protection locked="0"/>
    </xf>
    <xf numFmtId="0" fontId="0" fillId="8" borderId="5" xfId="0"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0" fillId="0" borderId="0" xfId="0" applyProtection="1"/>
    <xf numFmtId="0" fontId="2" fillId="6" borderId="3" xfId="0" applyFont="1" applyFill="1" applyBorder="1" applyAlignment="1" applyProtection="1">
      <alignment horizontal="center" vertical="center"/>
    </xf>
    <xf numFmtId="0" fontId="2" fillId="0" borderId="3" xfId="0" applyFont="1" applyBorder="1" applyAlignment="1" applyProtection="1">
      <alignment horizontal="center" vertical="center"/>
    </xf>
    <xf numFmtId="2" fontId="2" fillId="7" borderId="3" xfId="0" applyNumberFormat="1" applyFont="1" applyFill="1" applyBorder="1" applyAlignment="1" applyProtection="1">
      <alignment horizontal="center" vertical="center"/>
    </xf>
    <xf numFmtId="2" fontId="0" fillId="7" borderId="1" xfId="0" applyNumberFormat="1" applyFill="1" applyBorder="1" applyAlignment="1" applyProtection="1">
      <alignment horizontal="center" vertical="center"/>
    </xf>
    <xf numFmtId="166" fontId="0" fillId="7" borderId="1" xfId="0" applyNumberFormat="1" applyFill="1" applyBorder="1" applyAlignment="1" applyProtection="1">
      <alignment horizontal="center" vertical="center"/>
    </xf>
    <xf numFmtId="0" fontId="0" fillId="7" borderId="1" xfId="0" applyFill="1" applyBorder="1" applyAlignment="1" applyProtection="1">
      <alignment horizontal="center" vertical="center"/>
    </xf>
    <xf numFmtId="0" fontId="0" fillId="7" borderId="5" xfId="0" applyFill="1" applyBorder="1" applyAlignment="1" applyProtection="1">
      <alignment horizontal="center" vertical="center"/>
    </xf>
    <xf numFmtId="2" fontId="0" fillId="9" borderId="1" xfId="0" applyNumberFormat="1" applyFill="1" applyBorder="1" applyAlignment="1" applyProtection="1">
      <alignment horizontal="center" vertical="center"/>
    </xf>
    <xf numFmtId="0" fontId="0" fillId="9" borderId="3" xfId="0" applyFill="1" applyBorder="1" applyAlignment="1" applyProtection="1">
      <alignment horizontal="center" vertical="center"/>
    </xf>
    <xf numFmtId="2" fontId="0" fillId="9" borderId="5" xfId="0" applyNumberFormat="1" applyFill="1" applyBorder="1" applyAlignment="1" applyProtection="1">
      <alignment horizontal="center" vertical="center"/>
    </xf>
    <xf numFmtId="0" fontId="0" fillId="9" borderId="6" xfId="0" applyFill="1" applyBorder="1" applyAlignment="1" applyProtection="1">
      <alignment horizontal="center" vertical="center"/>
    </xf>
    <xf numFmtId="2" fontId="0" fillId="9" borderId="10" xfId="0" applyNumberFormat="1" applyFill="1" applyBorder="1" applyAlignment="1" applyProtection="1">
      <alignment horizontal="center" vertical="center"/>
    </xf>
    <xf numFmtId="2" fontId="0" fillId="7" borderId="10" xfId="0" applyNumberFormat="1" applyFill="1" applyBorder="1" applyAlignment="1" applyProtection="1">
      <alignment horizontal="center" vertical="center"/>
    </xf>
    <xf numFmtId="2" fontId="0" fillId="8" borderId="1" xfId="0" applyNumberFormat="1" applyFill="1" applyBorder="1" applyAlignment="1" applyProtection="1">
      <alignment horizontal="center" vertical="center"/>
      <protection locked="0"/>
    </xf>
    <xf numFmtId="0" fontId="0" fillId="0" borderId="0" xfId="0" applyBorder="1" applyAlignment="1" applyProtection="1">
      <alignment horizontal="center"/>
    </xf>
    <xf numFmtId="0" fontId="0" fillId="0" borderId="0" xfId="0" applyBorder="1" applyAlignment="1" applyProtection="1">
      <alignment horizontal="center" vertical="center"/>
    </xf>
    <xf numFmtId="2" fontId="0" fillId="0" borderId="1" xfId="0" applyNumberFormat="1" applyBorder="1" applyAlignment="1" applyProtection="1">
      <alignment horizontal="center" vertical="center"/>
    </xf>
    <xf numFmtId="2" fontId="0" fillId="8" borderId="10" xfId="0" applyNumberFormat="1" applyFill="1" applyBorder="1" applyAlignment="1" applyProtection="1">
      <alignment horizontal="center" vertical="center"/>
    </xf>
    <xf numFmtId="2" fontId="0" fillId="8" borderId="1" xfId="0" applyNumberFormat="1" applyFill="1" applyBorder="1" applyAlignment="1" applyProtection="1">
      <alignment horizontal="center" vertical="center"/>
    </xf>
    <xf numFmtId="0" fontId="0" fillId="8" borderId="1" xfId="0" applyFill="1" applyBorder="1" applyAlignment="1" applyProtection="1">
      <alignment horizontal="center" vertical="center"/>
    </xf>
    <xf numFmtId="166" fontId="0" fillId="8" borderId="1" xfId="0" applyNumberFormat="1" applyFill="1" applyBorder="1" applyAlignment="1" applyProtection="1">
      <alignment horizontal="center" vertical="center"/>
    </xf>
    <xf numFmtId="0" fontId="2" fillId="0" borderId="6" xfId="0" applyFont="1" applyBorder="1" applyAlignment="1" applyProtection="1">
      <alignment horizontal="center" vertical="center"/>
    </xf>
    <xf numFmtId="2" fontId="2" fillId="7" borderId="6" xfId="0" applyNumberFormat="1" applyFont="1" applyFill="1" applyBorder="1" applyAlignment="1" applyProtection="1">
      <alignment horizontal="center" vertical="center"/>
    </xf>
    <xf numFmtId="0" fontId="0" fillId="0" borderId="5" xfId="0" applyBorder="1" applyAlignment="1" applyProtection="1">
      <alignment horizontal="center" vertical="center"/>
    </xf>
    <xf numFmtId="2" fontId="0" fillId="0" borderId="5" xfId="0" applyNumberFormat="1" applyBorder="1" applyAlignment="1" applyProtection="1">
      <alignment horizontal="center" vertical="center"/>
    </xf>
    <xf numFmtId="0" fontId="1" fillId="9" borderId="2" xfId="0" applyFont="1" applyFill="1" applyBorder="1" applyAlignment="1" applyProtection="1">
      <alignment vertical="center"/>
    </xf>
    <xf numFmtId="0" fontId="1" fillId="9" borderId="1" xfId="0" applyFont="1" applyFill="1" applyBorder="1" applyAlignment="1" applyProtection="1">
      <alignment vertical="center"/>
    </xf>
    <xf numFmtId="2" fontId="0" fillId="9" borderId="31" xfId="0" applyNumberFormat="1" applyFill="1" applyBorder="1" applyAlignment="1" applyProtection="1">
      <alignment horizontal="center" vertical="center"/>
    </xf>
    <xf numFmtId="0" fontId="0" fillId="9" borderId="32" xfId="0" applyFill="1" applyBorder="1" applyAlignment="1" applyProtection="1">
      <alignment horizontal="center" vertical="center"/>
    </xf>
    <xf numFmtId="2" fontId="9" fillId="9" borderId="34" xfId="0" applyNumberFormat="1" applyFont="1" applyFill="1" applyBorder="1" applyAlignment="1" applyProtection="1">
      <alignment horizontal="center" vertical="center"/>
    </xf>
    <xf numFmtId="0" fontId="9" fillId="9" borderId="35" xfId="0" applyFont="1" applyFill="1" applyBorder="1" applyAlignment="1" applyProtection="1">
      <alignment horizontal="center" vertical="center"/>
    </xf>
    <xf numFmtId="0" fontId="1" fillId="3" borderId="2" xfId="0" applyFont="1" applyFill="1" applyBorder="1" applyAlignment="1" applyProtection="1">
      <alignment horizontal="left"/>
    </xf>
    <xf numFmtId="0" fontId="1" fillId="3" borderId="1" xfId="0" applyFont="1" applyFill="1" applyBorder="1" applyAlignment="1" applyProtection="1">
      <alignment horizontal="left"/>
    </xf>
    <xf numFmtId="0" fontId="1" fillId="3" borderId="3" xfId="0" applyFont="1" applyFill="1" applyBorder="1" applyAlignment="1" applyProtection="1">
      <alignment horizontal="left"/>
    </xf>
    <xf numFmtId="0" fontId="1" fillId="0" borderId="2" xfId="0" applyFont="1" applyBorder="1" applyAlignment="1" applyProtection="1">
      <alignment horizontal="left" vertical="center"/>
    </xf>
    <xf numFmtId="0" fontId="1" fillId="0" borderId="1" xfId="0" applyFont="1" applyBorder="1" applyAlignment="1" applyProtection="1">
      <alignment horizontal="left" vertical="center"/>
    </xf>
    <xf numFmtId="0" fontId="4" fillId="4" borderId="12" xfId="0" applyFont="1" applyFill="1" applyBorder="1" applyAlignment="1" applyProtection="1">
      <alignment horizontal="center"/>
    </xf>
    <xf numFmtId="0" fontId="4" fillId="4" borderId="13" xfId="0" applyFont="1" applyFill="1" applyBorder="1" applyAlignment="1" applyProtection="1">
      <alignment horizontal="center"/>
    </xf>
    <xf numFmtId="0" fontId="4" fillId="4" borderId="14" xfId="0" applyFont="1" applyFill="1" applyBorder="1" applyAlignment="1" applyProtection="1">
      <alignment horizontal="center"/>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1" fillId="6" borderId="9" xfId="0" applyFont="1" applyFill="1" applyBorder="1" applyAlignment="1" applyProtection="1">
      <alignment vertical="center"/>
    </xf>
    <xf numFmtId="0" fontId="1" fillId="6" borderId="10" xfId="0" applyFont="1" applyFill="1" applyBorder="1" applyAlignment="1" applyProtection="1">
      <alignment vertical="center"/>
    </xf>
    <xf numFmtId="0" fontId="1" fillId="3" borderId="9" xfId="0" applyFont="1" applyFill="1" applyBorder="1" applyAlignment="1" applyProtection="1">
      <alignment horizontal="left"/>
    </xf>
    <xf numFmtId="0" fontId="1" fillId="3" borderId="10" xfId="0" applyFont="1" applyFill="1" applyBorder="1" applyAlignment="1" applyProtection="1">
      <alignment horizontal="left"/>
    </xf>
    <xf numFmtId="0" fontId="1" fillId="3" borderId="11" xfId="0" applyFont="1" applyFill="1" applyBorder="1" applyAlignment="1" applyProtection="1">
      <alignment horizontal="left"/>
    </xf>
    <xf numFmtId="0" fontId="1" fillId="6" borderId="2" xfId="0" applyFont="1" applyFill="1" applyBorder="1" applyAlignment="1" applyProtection="1">
      <alignment horizontal="left" vertical="center"/>
    </xf>
    <xf numFmtId="0" fontId="1" fillId="6" borderId="1" xfId="0" applyFont="1" applyFill="1" applyBorder="1" applyAlignment="1" applyProtection="1">
      <alignment horizontal="left" vertical="center"/>
    </xf>
    <xf numFmtId="0" fontId="1" fillId="0" borderId="2" xfId="0" applyFont="1" applyBorder="1" applyAlignment="1" applyProtection="1">
      <alignment horizontal="left"/>
    </xf>
    <xf numFmtId="0" fontId="1" fillId="0" borderId="1" xfId="0" applyFont="1" applyBorder="1" applyAlignment="1" applyProtection="1">
      <alignment horizontal="left"/>
    </xf>
    <xf numFmtId="0" fontId="4" fillId="5" borderId="12" xfId="0" applyFont="1" applyFill="1" applyBorder="1" applyAlignment="1" applyProtection="1">
      <alignment horizontal="center"/>
    </xf>
    <xf numFmtId="0" fontId="4" fillId="5" borderId="13" xfId="0" applyFont="1" applyFill="1" applyBorder="1" applyAlignment="1" applyProtection="1">
      <alignment horizontal="center"/>
    </xf>
    <xf numFmtId="0" fontId="4" fillId="5" borderId="14" xfId="0" applyFont="1" applyFill="1" applyBorder="1" applyAlignment="1" applyProtection="1">
      <alignment horizontal="center"/>
    </xf>
    <xf numFmtId="0" fontId="1" fillId="9" borderId="9" xfId="0" applyFont="1" applyFill="1" applyBorder="1" applyAlignment="1" applyProtection="1">
      <alignment vertical="center"/>
    </xf>
    <xf numFmtId="0" fontId="1" fillId="9" borderId="10" xfId="0" applyFont="1" applyFill="1" applyBorder="1" applyAlignment="1" applyProtection="1">
      <alignment vertical="center"/>
    </xf>
    <xf numFmtId="0" fontId="1" fillId="6" borderId="2" xfId="0" applyFont="1" applyFill="1" applyBorder="1" applyAlignment="1" applyProtection="1">
      <alignment vertical="center"/>
    </xf>
    <xf numFmtId="0" fontId="1" fillId="6" borderId="1" xfId="0" applyFont="1" applyFill="1" applyBorder="1" applyAlignment="1" applyProtection="1">
      <alignment vertical="center"/>
    </xf>
    <xf numFmtId="0" fontId="1" fillId="0" borderId="7" xfId="0" applyFont="1" applyBorder="1" applyAlignment="1" applyProtection="1">
      <alignment horizontal="left" vertical="center"/>
    </xf>
    <xf numFmtId="0" fontId="0" fillId="0" borderId="8" xfId="0" applyBorder="1" applyProtection="1"/>
    <xf numFmtId="0" fontId="1" fillId="3" borderId="2"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3" borderId="3" xfId="0" applyFont="1" applyFill="1" applyBorder="1" applyAlignment="1" applyProtection="1">
      <alignment horizontal="left" vertical="center"/>
    </xf>
    <xf numFmtId="0" fontId="1" fillId="6" borderId="4" xfId="0" applyFont="1" applyFill="1" applyBorder="1" applyAlignment="1" applyProtection="1">
      <alignment horizontal="left" vertical="center"/>
    </xf>
    <xf numFmtId="0" fontId="1" fillId="6" borderId="5" xfId="0" applyFont="1" applyFill="1" applyBorder="1" applyAlignment="1" applyProtection="1">
      <alignment horizontal="left" vertical="center"/>
    </xf>
    <xf numFmtId="0" fontId="0" fillId="0" borderId="0" xfId="0" applyAlignment="1" applyProtection="1">
      <alignment vertical="center"/>
    </xf>
    <xf numFmtId="0" fontId="1" fillId="0" borderId="4"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8" xfId="0" applyFont="1" applyBorder="1" applyAlignment="1" applyProtection="1">
      <alignment horizontal="left" vertical="center"/>
    </xf>
    <xf numFmtId="0" fontId="1" fillId="9" borderId="2" xfId="0" applyFont="1" applyFill="1" applyBorder="1" applyAlignment="1" applyProtection="1">
      <alignment horizontal="left" vertical="center"/>
    </xf>
    <xf numFmtId="0" fontId="1" fillId="9" borderId="1" xfId="0" applyFont="1" applyFill="1" applyBorder="1" applyAlignment="1" applyProtection="1">
      <alignment horizontal="left" vertical="center"/>
    </xf>
    <xf numFmtId="0" fontId="1" fillId="9" borderId="2" xfId="0" applyFont="1" applyFill="1" applyBorder="1" applyAlignment="1" applyProtection="1">
      <alignment vertical="center"/>
    </xf>
    <xf numFmtId="0" fontId="1" fillId="9" borderId="1" xfId="0" applyFont="1" applyFill="1" applyBorder="1" applyAlignment="1" applyProtection="1">
      <alignment vertical="center"/>
    </xf>
    <xf numFmtId="0" fontId="1" fillId="9" borderId="4" xfId="0" applyFont="1" applyFill="1" applyBorder="1" applyAlignment="1" applyProtection="1">
      <alignment vertical="center"/>
    </xf>
    <xf numFmtId="0" fontId="1" fillId="9" borderId="5" xfId="0" applyFont="1" applyFill="1" applyBorder="1" applyAlignment="1" applyProtection="1">
      <alignment vertical="center"/>
    </xf>
    <xf numFmtId="0" fontId="1" fillId="0" borderId="0" xfId="0" applyFont="1" applyFill="1" applyBorder="1" applyAlignment="1" applyProtection="1">
      <alignment vertical="center"/>
    </xf>
    <xf numFmtId="0" fontId="0" fillId="7" borderId="7" xfId="0" applyFill="1" applyBorder="1" applyAlignment="1" applyProtection="1">
      <alignment horizontal="left" vertical="center"/>
    </xf>
    <xf numFmtId="0" fontId="0" fillId="7" borderId="18" xfId="0" applyFill="1" applyBorder="1" applyAlignment="1" applyProtection="1">
      <alignment horizontal="left" vertical="center"/>
    </xf>
    <xf numFmtId="0" fontId="0" fillId="7" borderId="8" xfId="0" applyFill="1" applyBorder="1" applyAlignment="1" applyProtection="1">
      <alignment horizontal="left" vertical="center"/>
    </xf>
    <xf numFmtId="0" fontId="0" fillId="7" borderId="22" xfId="0" applyFill="1" applyBorder="1" applyAlignment="1" applyProtection="1">
      <alignment horizontal="left" vertical="center"/>
    </xf>
    <xf numFmtId="0" fontId="0" fillId="7" borderId="23" xfId="0" applyFill="1" applyBorder="1" applyAlignment="1" applyProtection="1">
      <alignment horizontal="left" vertical="center"/>
    </xf>
    <xf numFmtId="0" fontId="0" fillId="7" borderId="24" xfId="0" applyFill="1" applyBorder="1" applyAlignment="1" applyProtection="1">
      <alignment horizontal="left" vertical="center"/>
    </xf>
    <xf numFmtId="2" fontId="0" fillId="7" borderId="7" xfId="0" applyNumberFormat="1" applyFill="1" applyBorder="1" applyAlignment="1" applyProtection="1">
      <alignment horizontal="left" vertical="center"/>
    </xf>
    <xf numFmtId="2" fontId="0" fillId="7" borderId="18" xfId="0" applyNumberFormat="1" applyFill="1" applyBorder="1" applyAlignment="1" applyProtection="1">
      <alignment horizontal="left" vertical="center"/>
    </xf>
    <xf numFmtId="2" fontId="0" fillId="7" borderId="8" xfId="0" applyNumberFormat="1" applyFill="1" applyBorder="1" applyAlignment="1" applyProtection="1">
      <alignment horizontal="left" vertical="center"/>
    </xf>
    <xf numFmtId="0" fontId="4" fillId="8" borderId="15" xfId="0" applyFont="1" applyFill="1" applyBorder="1" applyAlignment="1" applyProtection="1">
      <alignment horizontal="center"/>
    </xf>
    <xf numFmtId="0" fontId="4" fillId="8" borderId="16" xfId="0" applyFont="1" applyFill="1" applyBorder="1" applyAlignment="1" applyProtection="1">
      <alignment horizontal="center"/>
    </xf>
    <xf numFmtId="0" fontId="4" fillId="8" borderId="17" xfId="0" applyFont="1" applyFill="1" applyBorder="1" applyAlignment="1" applyProtection="1">
      <alignment horizontal="center"/>
    </xf>
    <xf numFmtId="2" fontId="0" fillId="7" borderId="19" xfId="0" applyNumberFormat="1" applyFill="1" applyBorder="1" applyAlignment="1" applyProtection="1">
      <alignment horizontal="left" vertical="center"/>
    </xf>
    <xf numFmtId="2" fontId="0" fillId="7" borderId="20" xfId="0" applyNumberFormat="1" applyFill="1" applyBorder="1" applyAlignment="1" applyProtection="1">
      <alignment horizontal="left" vertical="center"/>
    </xf>
    <xf numFmtId="2" fontId="0" fillId="7" borderId="21" xfId="0" applyNumberFormat="1" applyFill="1" applyBorder="1" applyAlignment="1" applyProtection="1">
      <alignment horizontal="left" vertical="center"/>
    </xf>
    <xf numFmtId="0" fontId="6" fillId="0" borderId="0" xfId="0" applyFont="1" applyFill="1" applyBorder="1" applyAlignment="1" applyProtection="1">
      <alignment vertical="center"/>
    </xf>
    <xf numFmtId="0" fontId="7" fillId="0" borderId="0" xfId="0" applyFont="1" applyAlignment="1" applyProtection="1">
      <alignment horizontal="left" vertical="center" wrapText="1"/>
    </xf>
    <xf numFmtId="0" fontId="0" fillId="7" borderId="2" xfId="0" applyFill="1" applyBorder="1" applyAlignment="1" applyProtection="1">
      <alignment horizontal="left" vertical="center"/>
    </xf>
    <xf numFmtId="0" fontId="0" fillId="7" borderId="1" xfId="0" applyFill="1" applyBorder="1" applyAlignment="1" applyProtection="1">
      <alignment horizontal="left" vertical="center"/>
    </xf>
    <xf numFmtId="0" fontId="4" fillId="8" borderId="12" xfId="0" applyFont="1" applyFill="1" applyBorder="1" applyAlignment="1" applyProtection="1">
      <alignment horizontal="center"/>
    </xf>
    <xf numFmtId="0" fontId="4" fillId="8" borderId="13" xfId="0" applyFont="1" applyFill="1" applyBorder="1" applyAlignment="1" applyProtection="1">
      <alignment horizontal="center"/>
    </xf>
    <xf numFmtId="0" fontId="4" fillId="8" borderId="14" xfId="0" applyFont="1" applyFill="1" applyBorder="1" applyAlignment="1" applyProtection="1">
      <alignment horizontal="center"/>
    </xf>
    <xf numFmtId="2" fontId="0" fillId="7" borderId="9" xfId="0" applyNumberFormat="1" applyFill="1" applyBorder="1" applyAlignment="1" applyProtection="1">
      <alignment horizontal="left" vertical="center"/>
    </xf>
    <xf numFmtId="2" fontId="0" fillId="7" borderId="10" xfId="0" applyNumberFormat="1" applyFill="1" applyBorder="1" applyAlignment="1" applyProtection="1">
      <alignment horizontal="left" vertical="center"/>
    </xf>
    <xf numFmtId="2" fontId="0" fillId="7" borderId="2" xfId="0" applyNumberFormat="1" applyFill="1" applyBorder="1" applyAlignment="1" applyProtection="1">
      <alignment horizontal="left" vertical="center"/>
    </xf>
    <xf numFmtId="2" fontId="0" fillId="7" borderId="1" xfId="0" applyNumberFormat="1" applyFill="1" applyBorder="1" applyAlignment="1" applyProtection="1">
      <alignment horizontal="left" vertical="center"/>
    </xf>
    <xf numFmtId="0" fontId="0" fillId="7" borderId="4" xfId="0" applyFill="1" applyBorder="1" applyAlignment="1" applyProtection="1">
      <alignment horizontal="left" vertical="center"/>
    </xf>
    <xf numFmtId="0" fontId="0" fillId="7" borderId="5" xfId="0" applyFill="1" applyBorder="1" applyAlignment="1" applyProtection="1">
      <alignment horizontal="left" vertical="center"/>
    </xf>
    <xf numFmtId="0" fontId="0" fillId="8" borderId="19" xfId="0" applyFill="1" applyBorder="1" applyProtection="1"/>
    <xf numFmtId="0" fontId="0" fillId="8" borderId="20" xfId="0" applyFill="1" applyBorder="1" applyProtection="1"/>
    <xf numFmtId="0" fontId="0" fillId="8" borderId="29" xfId="0" applyFill="1" applyBorder="1" applyProtection="1"/>
    <xf numFmtId="0" fontId="0" fillId="0" borderId="22" xfId="0" applyBorder="1" applyProtection="1"/>
    <xf numFmtId="0" fontId="0" fillId="0" borderId="23" xfId="0" applyBorder="1" applyProtection="1"/>
    <xf numFmtId="0" fontId="0" fillId="0" borderId="24" xfId="0" applyBorder="1" applyProtection="1"/>
    <xf numFmtId="0" fontId="0" fillId="0" borderId="7" xfId="0" applyBorder="1" applyProtection="1"/>
    <xf numFmtId="0" fontId="0" fillId="0" borderId="18" xfId="0" applyBorder="1" applyProtection="1"/>
    <xf numFmtId="0" fontId="0" fillId="0" borderId="2" xfId="0" applyBorder="1" applyProtection="1"/>
    <xf numFmtId="0" fontId="0" fillId="0" borderId="1" xfId="0" applyBorder="1" applyProtection="1"/>
    <xf numFmtId="0" fontId="0" fillId="0" borderId="4" xfId="0" applyBorder="1" applyProtection="1"/>
    <xf numFmtId="0" fontId="0" fillId="0" borderId="5" xfId="0" applyBorder="1" applyProtection="1"/>
    <xf numFmtId="0" fontId="0" fillId="8" borderId="26" xfId="0" applyFill="1" applyBorder="1" applyProtection="1"/>
    <xf numFmtId="0" fontId="0" fillId="8" borderId="27" xfId="0" applyFill="1" applyBorder="1" applyProtection="1"/>
    <xf numFmtId="0" fontId="0" fillId="8" borderId="28" xfId="0" applyFill="1" applyBorder="1" applyProtection="1"/>
    <xf numFmtId="0" fontId="4" fillId="5" borderId="26" xfId="0" applyFont="1" applyFill="1" applyBorder="1" applyAlignment="1" applyProtection="1">
      <alignment horizontal="center"/>
    </xf>
    <xf numFmtId="0" fontId="4" fillId="5" borderId="27" xfId="0" applyFont="1" applyFill="1" applyBorder="1" applyAlignment="1" applyProtection="1">
      <alignment horizontal="center"/>
    </xf>
    <xf numFmtId="0" fontId="4" fillId="5" borderId="28" xfId="0" applyFont="1" applyFill="1" applyBorder="1" applyAlignment="1" applyProtection="1">
      <alignment horizontal="center"/>
    </xf>
    <xf numFmtId="0" fontId="1" fillId="0" borderId="22" xfId="0" applyFont="1" applyBorder="1" applyAlignment="1" applyProtection="1">
      <alignment horizontal="left" vertical="center"/>
    </xf>
    <xf numFmtId="0" fontId="1" fillId="0" borderId="24" xfId="0" applyFont="1" applyBorder="1" applyAlignment="1" applyProtection="1">
      <alignment horizontal="left" vertical="center"/>
    </xf>
    <xf numFmtId="0" fontId="1" fillId="3" borderId="7" xfId="0" applyFont="1" applyFill="1" applyBorder="1" applyAlignment="1" applyProtection="1">
      <alignment horizontal="left"/>
    </xf>
    <xf numFmtId="0" fontId="1" fillId="3" borderId="18" xfId="0" applyFont="1" applyFill="1" applyBorder="1" applyAlignment="1" applyProtection="1">
      <alignment horizontal="left"/>
    </xf>
    <xf numFmtId="0" fontId="1" fillId="3" borderId="25" xfId="0" applyFont="1" applyFill="1" applyBorder="1" applyAlignment="1" applyProtection="1">
      <alignment horizontal="left"/>
    </xf>
    <xf numFmtId="0" fontId="7" fillId="0" borderId="0" xfId="0" applyFont="1" applyProtection="1"/>
    <xf numFmtId="0" fontId="1" fillId="9" borderId="30" xfId="0" applyFont="1" applyFill="1" applyBorder="1" applyAlignment="1" applyProtection="1">
      <alignment vertical="center"/>
    </xf>
    <xf numFmtId="0" fontId="1" fillId="9" borderId="31" xfId="0" applyFont="1" applyFill="1" applyBorder="1" applyAlignment="1" applyProtection="1">
      <alignment vertical="center"/>
    </xf>
    <xf numFmtId="0" fontId="8" fillId="9" borderId="33" xfId="0" applyFont="1" applyFill="1" applyBorder="1" applyAlignment="1" applyProtection="1">
      <alignment vertical="center"/>
    </xf>
    <xf numFmtId="0" fontId="8" fillId="9" borderId="34" xfId="0" applyFont="1" applyFill="1" applyBorder="1" applyAlignment="1" applyProtection="1">
      <alignment vertical="center"/>
    </xf>
    <xf numFmtId="0" fontId="1" fillId="0" borderId="7" xfId="0" applyFont="1" applyBorder="1" applyAlignment="1" applyProtection="1">
      <alignment horizontal="left"/>
    </xf>
    <xf numFmtId="0" fontId="1" fillId="0" borderId="8" xfId="0" applyFont="1" applyBorder="1" applyAlignment="1" applyProtection="1">
      <alignment horizontal="left"/>
    </xf>
    <xf numFmtId="0" fontId="7" fillId="0" borderId="0" xfId="0" applyFont="1" applyAlignment="1" applyProtection="1">
      <alignment horizontal="left" wrapText="1"/>
    </xf>
    <xf numFmtId="0" fontId="1" fillId="6" borderId="7" xfId="0" applyFont="1" applyFill="1" applyBorder="1" applyAlignment="1" applyProtection="1">
      <alignment horizontal="left" vertical="center"/>
    </xf>
    <xf numFmtId="0" fontId="1" fillId="6" borderId="18"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9" borderId="7" xfId="0" applyFont="1" applyFill="1" applyBorder="1" applyAlignment="1" applyProtection="1">
      <alignment vertical="center"/>
    </xf>
    <xf numFmtId="0" fontId="1" fillId="9" borderId="18" xfId="0" applyFont="1" applyFill="1" applyBorder="1" applyAlignment="1" applyProtection="1">
      <alignment vertical="center"/>
    </xf>
    <xf numFmtId="0" fontId="1" fillId="9" borderId="8" xfId="0" applyFont="1" applyFill="1" applyBorder="1" applyAlignment="1" applyProtection="1">
      <alignment vertical="center"/>
    </xf>
  </cellXfs>
  <cellStyles count="1">
    <cellStyle name="Normal" xfId="0" builtinId="0"/>
  </cellStyles>
  <dxfs count="37">
    <dxf>
      <font>
        <b/>
        <i val="0"/>
        <color theme="0"/>
      </font>
      <fill>
        <patternFill>
          <bgColor rgb="FF002060"/>
        </patternFill>
      </fill>
    </dxf>
    <dxf>
      <font>
        <b/>
        <i val="0"/>
        <color theme="0"/>
      </font>
      <fill>
        <patternFill>
          <bgColor rgb="FF002060"/>
        </patternFill>
      </fill>
    </dxf>
    <dxf>
      <fill>
        <patternFill>
          <bgColor rgb="FF7030A0"/>
        </patternFill>
      </fill>
    </dxf>
    <dxf>
      <font>
        <b/>
        <i val="0"/>
        <color theme="0"/>
      </font>
      <fill>
        <patternFill>
          <bgColor rgb="FF7030A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numFmt numFmtId="0" formatCode="General"/>
      <fill>
        <patternFill>
          <fgColor auto="1"/>
          <bgColor rgb="FFFF0000"/>
        </patternFill>
      </fill>
    </dxf>
    <dxf>
      <font>
        <color theme="1"/>
      </font>
      <fill>
        <patternFill>
          <bgColor theme="3" tint="0.79998168889431442"/>
        </patternFill>
      </fill>
    </dxf>
    <dxf>
      <font>
        <color theme="1"/>
      </font>
      <fill>
        <patternFill>
          <bgColor theme="3" tint="0.79998168889431442"/>
        </patternFill>
      </fill>
    </dxf>
    <dxf>
      <fill>
        <patternFill>
          <bgColor theme="3" tint="0.79998168889431442"/>
        </patternFill>
      </fill>
    </dxf>
    <dxf>
      <fill>
        <patternFill>
          <bgColor theme="3" tint="0.79998168889431442"/>
        </patternFill>
      </fill>
    </dxf>
    <dxf>
      <fill>
        <patternFill>
          <bgColor rgb="FF7030A0"/>
        </patternFill>
      </fill>
    </dxf>
    <dxf>
      <font>
        <b/>
        <i val="0"/>
        <color theme="0"/>
      </font>
      <fill>
        <patternFill>
          <bgColor rgb="FF002060"/>
        </patternFill>
      </fill>
    </dxf>
    <dxf>
      <font>
        <b/>
        <i val="0"/>
        <color theme="0"/>
      </font>
      <fill>
        <patternFill>
          <bgColor rgb="FF002060"/>
        </patternFill>
      </fill>
    </dxf>
    <dxf>
      <font>
        <b/>
        <i val="0"/>
        <color theme="0"/>
      </font>
      <fill>
        <patternFill>
          <bgColor rgb="FF7030A0"/>
        </patternFill>
      </fill>
    </dxf>
    <dxf>
      <font>
        <b/>
        <i val="0"/>
        <color theme="0"/>
      </font>
      <fill>
        <patternFill>
          <bgColor rgb="FFFF0000"/>
        </patternFill>
      </fill>
    </dxf>
    <dxf>
      <font>
        <b/>
        <i val="0"/>
        <color theme="0"/>
      </font>
      <fill>
        <patternFill>
          <bgColor rgb="FFFF0000"/>
        </patternFill>
      </fill>
    </dxf>
    <dxf>
      <font>
        <b/>
        <i val="0"/>
        <color theme="0"/>
      </font>
      <fill>
        <patternFill>
          <bgColor rgb="FF002060"/>
        </patternFill>
      </fill>
    </dxf>
    <dxf>
      <font>
        <b/>
        <i val="0"/>
        <color theme="0"/>
      </font>
      <fill>
        <patternFill>
          <bgColor rgb="FF002060"/>
        </patternFill>
      </fill>
    </dxf>
    <dxf>
      <fill>
        <patternFill>
          <bgColor rgb="FF7030A0"/>
        </patternFill>
      </fill>
    </dxf>
    <dxf>
      <font>
        <b/>
        <i val="0"/>
        <color theme="0"/>
      </font>
      <fill>
        <patternFill>
          <bgColor rgb="FF7030A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numFmt numFmtId="0" formatCode="General"/>
      <fill>
        <patternFill>
          <fgColor auto="1"/>
          <bgColor rgb="FFFF0000"/>
        </patternFill>
      </fill>
    </dxf>
    <dxf>
      <font>
        <b/>
        <i val="0"/>
        <color theme="0"/>
      </font>
      <fill>
        <patternFill>
          <bgColor rgb="FF002060"/>
        </patternFill>
      </fill>
    </dxf>
    <dxf>
      <fill>
        <patternFill>
          <bgColor rgb="FF7030A0"/>
        </patternFill>
      </fill>
    </dxf>
    <dxf>
      <font>
        <b/>
        <i val="0"/>
        <color theme="0"/>
      </font>
      <fill>
        <patternFill>
          <bgColor rgb="FF002060"/>
        </patternFill>
      </fill>
    </dxf>
    <dxf>
      <font>
        <b/>
        <i val="0"/>
        <color theme="0"/>
      </font>
      <fill>
        <patternFill>
          <bgColor rgb="FF7030A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EAF1DD"/>
      <color rgb="FFECF1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xdr:col>
      <xdr:colOff>142875</xdr:colOff>
      <xdr:row>5</xdr:row>
      <xdr:rowOff>104775</xdr:rowOff>
    </xdr:from>
    <xdr:ext cx="184731" cy="264560"/>
    <xdr:sp macro="" textlink="">
      <xdr:nvSpPr>
        <xdr:cNvPr id="2" name="TextBox 1"/>
        <xdr:cNvSpPr txBox="1"/>
      </xdr:nvSpPr>
      <xdr:spPr>
        <a:xfrm>
          <a:off x="1971675" y="86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133350</xdr:colOff>
      <xdr:row>7</xdr:row>
      <xdr:rowOff>28575</xdr:rowOff>
    </xdr:from>
    <xdr:ext cx="184731" cy="264560"/>
    <xdr:sp macro="" textlink="">
      <xdr:nvSpPr>
        <xdr:cNvPr id="3" name="TextBox 2"/>
        <xdr:cNvSpPr txBox="1"/>
      </xdr:nvSpPr>
      <xdr:spPr>
        <a:xfrm>
          <a:off x="4000500" y="11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9525</xdr:colOff>
          <xdr:row>2</xdr:row>
          <xdr:rowOff>19050</xdr:rowOff>
        </xdr:from>
        <xdr:to>
          <xdr:col>10</xdr:col>
          <xdr:colOff>447675</xdr:colOff>
          <xdr:row>17</xdr:row>
          <xdr:rowOff>95250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142875</xdr:colOff>
      <xdr:row>5</xdr:row>
      <xdr:rowOff>104775</xdr:rowOff>
    </xdr:from>
    <xdr:ext cx="184731" cy="264560"/>
    <xdr:sp macro="" textlink="">
      <xdr:nvSpPr>
        <xdr:cNvPr id="2" name="TextBox 1"/>
        <xdr:cNvSpPr txBox="1"/>
      </xdr:nvSpPr>
      <xdr:spPr>
        <a:xfrm>
          <a:off x="1971675" y="86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133350</xdr:colOff>
      <xdr:row>7</xdr:row>
      <xdr:rowOff>28575</xdr:rowOff>
    </xdr:from>
    <xdr:ext cx="184731" cy="264560"/>
    <xdr:sp macro="" textlink="">
      <xdr:nvSpPr>
        <xdr:cNvPr id="3" name="TextBox 2"/>
        <xdr:cNvSpPr txBox="1"/>
      </xdr:nvSpPr>
      <xdr:spPr>
        <a:xfrm>
          <a:off x="4000500" y="117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19050</xdr:colOff>
          <xdr:row>2</xdr:row>
          <xdr:rowOff>19050</xdr:rowOff>
        </xdr:from>
        <xdr:to>
          <xdr:col>11</xdr:col>
          <xdr:colOff>0</xdr:colOff>
          <xdr:row>17</xdr:row>
          <xdr:rowOff>123825</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142875</xdr:colOff>
      <xdr:row>5</xdr:row>
      <xdr:rowOff>104775</xdr:rowOff>
    </xdr:from>
    <xdr:ext cx="184731" cy="264560"/>
    <xdr:sp macro="" textlink="">
      <xdr:nvSpPr>
        <xdr:cNvPr id="2" name="TextBox 1"/>
        <xdr:cNvSpPr txBox="1"/>
      </xdr:nvSpPr>
      <xdr:spPr>
        <a:xfrm>
          <a:off x="1971675" y="10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133350</xdr:colOff>
      <xdr:row>7</xdr:row>
      <xdr:rowOff>28575</xdr:rowOff>
    </xdr:from>
    <xdr:ext cx="184731" cy="264560"/>
    <xdr:sp macro="" textlink="">
      <xdr:nvSpPr>
        <xdr:cNvPr id="3" name="TextBox 2"/>
        <xdr:cNvSpPr txBox="1"/>
      </xdr:nvSpPr>
      <xdr:spPr>
        <a:xfrm>
          <a:off x="4000500"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13</xdr:col>
          <xdr:colOff>57150</xdr:colOff>
          <xdr:row>18</xdr:row>
          <xdr:rowOff>9525</xdr:rowOff>
        </xdr:to>
        <xdr:sp macro="" textlink="">
          <xdr:nvSpPr>
            <xdr:cNvPr id="6152" name="Object 8"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xdr:col>
      <xdr:colOff>142875</xdr:colOff>
      <xdr:row>5</xdr:row>
      <xdr:rowOff>104775</xdr:rowOff>
    </xdr:from>
    <xdr:ext cx="184731" cy="264560"/>
    <xdr:sp macro="" textlink="">
      <xdr:nvSpPr>
        <xdr:cNvPr id="2" name="TextBox 1"/>
        <xdr:cNvSpPr txBox="1"/>
      </xdr:nvSpPr>
      <xdr:spPr>
        <a:xfrm>
          <a:off x="1971675" y="10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133350</xdr:colOff>
      <xdr:row>7</xdr:row>
      <xdr:rowOff>28575</xdr:rowOff>
    </xdr:from>
    <xdr:ext cx="184731" cy="264560"/>
    <xdr:sp macro="" textlink="">
      <xdr:nvSpPr>
        <xdr:cNvPr id="3" name="TextBox 2"/>
        <xdr:cNvSpPr txBox="1"/>
      </xdr:nvSpPr>
      <xdr:spPr>
        <a:xfrm>
          <a:off x="4000500"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editAs="oneCell">
    <xdr:from>
      <xdr:col>1</xdr:col>
      <xdr:colOff>9525</xdr:colOff>
      <xdr:row>2</xdr:row>
      <xdr:rowOff>9525</xdr:rowOff>
    </xdr:from>
    <xdr:to>
      <xdr:col>11</xdr:col>
      <xdr:colOff>200025</xdr:colOff>
      <xdr:row>18</xdr:row>
      <xdr:rowOff>9525</xdr:rowOff>
    </xdr:to>
    <xdr:pic>
      <xdr:nvPicPr>
        <xdr:cNvPr id="512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390525"/>
          <a:ext cx="7239000" cy="304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55"/>
  <sheetViews>
    <sheetView zoomScale="90" zoomScaleNormal="90" workbookViewId="0">
      <selection activeCell="E25" sqref="E25"/>
    </sheetView>
  </sheetViews>
  <sheetFormatPr defaultRowHeight="15" x14ac:dyDescent="0.25"/>
  <cols>
    <col min="1" max="4" width="9.140625" style="1"/>
    <col min="5" max="5" width="12.28515625" style="1" customWidth="1"/>
    <col min="6" max="7" width="9.140625" style="1"/>
    <col min="8" max="8" width="12" style="1" bestFit="1" customWidth="1"/>
    <col min="9" max="9" width="7.140625" style="1" customWidth="1"/>
    <col min="10" max="10" width="16.85546875" style="1" customWidth="1"/>
    <col min="11" max="11" width="11.7109375" style="1" customWidth="1"/>
    <col min="12" max="15" width="9.140625" style="1"/>
    <col min="16" max="16" width="14.140625" style="1" customWidth="1"/>
    <col min="17" max="16384" width="9.140625" style="1"/>
  </cols>
  <sheetData>
    <row r="1" spans="2:17" x14ac:dyDescent="0.25">
      <c r="B1" s="1" t="s">
        <v>55</v>
      </c>
      <c r="E1" s="47" t="s">
        <v>94</v>
      </c>
      <c r="G1" s="39"/>
      <c r="H1" s="47"/>
      <c r="I1" s="39" t="s">
        <v>56</v>
      </c>
      <c r="J1" s="40">
        <v>41400</v>
      </c>
      <c r="K1" s="47" t="s">
        <v>127</v>
      </c>
    </row>
    <row r="3" spans="2:17" x14ac:dyDescent="0.25">
      <c r="M3" s="18"/>
      <c r="N3" s="18"/>
      <c r="O3" s="18"/>
    </row>
    <row r="4" spans="2:17" x14ac:dyDescent="0.25">
      <c r="M4" s="18"/>
      <c r="N4" s="18"/>
      <c r="O4" s="18"/>
      <c r="P4" s="9"/>
    </row>
    <row r="5" spans="2:17" x14ac:dyDescent="0.25">
      <c r="M5" s="18"/>
      <c r="N5" s="18"/>
      <c r="O5" s="18"/>
      <c r="P5" s="9"/>
    </row>
    <row r="6" spans="2:17" x14ac:dyDescent="0.25">
      <c r="M6" s="18"/>
      <c r="N6" s="18"/>
      <c r="O6" s="18"/>
      <c r="P6" s="9"/>
    </row>
    <row r="7" spans="2:17" x14ac:dyDescent="0.25">
      <c r="M7" s="18"/>
      <c r="N7" s="18"/>
      <c r="O7" s="18"/>
      <c r="P7" s="9"/>
    </row>
    <row r="8" spans="2:17" x14ac:dyDescent="0.25">
      <c r="M8" s="18"/>
      <c r="N8" s="18"/>
      <c r="O8" s="18"/>
      <c r="P8" s="21"/>
    </row>
    <row r="9" spans="2:17" x14ac:dyDescent="0.25">
      <c r="M9" s="18"/>
      <c r="N9" s="18"/>
      <c r="O9" s="18"/>
      <c r="P9" s="9"/>
    </row>
    <row r="10" spans="2:17" x14ac:dyDescent="0.25">
      <c r="M10" s="18"/>
      <c r="N10" s="18"/>
      <c r="O10" s="18"/>
      <c r="P10" s="19"/>
      <c r="Q10" s="20"/>
    </row>
    <row r="11" spans="2:17" x14ac:dyDescent="0.25">
      <c r="M11" s="18"/>
      <c r="N11" s="18"/>
      <c r="O11" s="18"/>
      <c r="P11" s="9"/>
    </row>
    <row r="12" spans="2:17" x14ac:dyDescent="0.25">
      <c r="M12" s="18"/>
      <c r="N12" s="18"/>
      <c r="O12" s="18"/>
      <c r="P12" s="9"/>
    </row>
    <row r="13" spans="2:17" x14ac:dyDescent="0.25">
      <c r="M13" s="18"/>
      <c r="N13" s="18"/>
      <c r="O13" s="18"/>
      <c r="P13" s="9"/>
    </row>
    <row r="14" spans="2:17" x14ac:dyDescent="0.25">
      <c r="M14" s="18"/>
      <c r="N14" s="18"/>
      <c r="O14" s="18"/>
      <c r="P14" s="9"/>
    </row>
    <row r="16" spans="2:17" x14ac:dyDescent="0.25">
      <c r="M16" s="18"/>
      <c r="N16" s="18"/>
      <c r="O16" s="18"/>
    </row>
    <row r="17" spans="2:16" x14ac:dyDescent="0.25">
      <c r="M17" s="18"/>
      <c r="N17" s="18"/>
      <c r="O17" s="18"/>
      <c r="P17" s="9"/>
    </row>
    <row r="18" spans="2:16" x14ac:dyDescent="0.25">
      <c r="M18" s="18"/>
      <c r="N18" s="18"/>
      <c r="O18" s="18"/>
      <c r="P18" s="9"/>
    </row>
    <row r="19" spans="2:16" ht="15.75" thickBot="1" x14ac:dyDescent="0.3">
      <c r="M19" s="18"/>
      <c r="N19" s="18"/>
      <c r="O19" s="18"/>
      <c r="P19" s="9"/>
    </row>
    <row r="20" spans="2:16" ht="19.5" thickBot="1" x14ac:dyDescent="0.35">
      <c r="B20" s="84" t="s">
        <v>17</v>
      </c>
      <c r="C20" s="85"/>
      <c r="D20" s="85"/>
      <c r="E20" s="85"/>
      <c r="F20" s="86"/>
      <c r="H20" s="87" t="s">
        <v>21</v>
      </c>
      <c r="I20" s="88"/>
      <c r="J20" s="88"/>
      <c r="K20" s="89"/>
      <c r="M20" s="18"/>
      <c r="N20" s="18"/>
      <c r="O20" s="18"/>
      <c r="P20" s="9"/>
    </row>
    <row r="21" spans="2:16" x14ac:dyDescent="0.25">
      <c r="B21" s="90" t="s">
        <v>1</v>
      </c>
      <c r="C21" s="91"/>
      <c r="D21" s="91"/>
      <c r="E21" s="41">
        <v>12</v>
      </c>
      <c r="F21" s="36" t="s">
        <v>3</v>
      </c>
      <c r="H21" s="92" t="s">
        <v>14</v>
      </c>
      <c r="I21" s="93"/>
      <c r="J21" s="93"/>
      <c r="K21" s="94"/>
      <c r="M21" s="18"/>
      <c r="N21" s="18"/>
      <c r="O21" s="18"/>
      <c r="P21" s="9"/>
    </row>
    <row r="22" spans="2:16" x14ac:dyDescent="0.25">
      <c r="B22" s="95" t="s">
        <v>33</v>
      </c>
      <c r="C22" s="96"/>
      <c r="D22" s="96"/>
      <c r="E22" s="42">
        <v>0.35</v>
      </c>
      <c r="F22" s="2" t="s">
        <v>4</v>
      </c>
      <c r="H22" s="97" t="s">
        <v>9</v>
      </c>
      <c r="I22" s="98"/>
      <c r="J22" s="19">
        <f>CEILING(((J34*(E55/2-152*10^-9))/(0.0149/E51+0.0149/E52))*0.75*10^6,1)</f>
        <v>13</v>
      </c>
      <c r="K22" s="4" t="s">
        <v>13</v>
      </c>
      <c r="M22" s="18"/>
      <c r="N22" s="18"/>
      <c r="O22" s="18"/>
      <c r="P22" s="9"/>
    </row>
    <row r="23" spans="2:16" ht="18" x14ac:dyDescent="0.25">
      <c r="B23" s="104" t="s">
        <v>50</v>
      </c>
      <c r="C23" s="105"/>
      <c r="D23" s="105"/>
      <c r="E23" s="42">
        <v>20</v>
      </c>
      <c r="F23" s="2" t="s">
        <v>3</v>
      </c>
      <c r="H23" s="106" t="s">
        <v>24</v>
      </c>
      <c r="I23" s="107"/>
      <c r="J23" s="3">
        <f>CEILING((((E51/(J22*10^-6))*E53)+E32)*1.2,0.1)</f>
        <v>1.2000000000000002</v>
      </c>
      <c r="K23" s="4" t="s">
        <v>4</v>
      </c>
      <c r="M23" s="18"/>
      <c r="N23" s="18"/>
      <c r="O23" s="18"/>
      <c r="P23" s="9"/>
    </row>
    <row r="24" spans="2:16" x14ac:dyDescent="0.25">
      <c r="B24" s="95" t="s">
        <v>6</v>
      </c>
      <c r="C24" s="96"/>
      <c r="D24" s="96"/>
      <c r="E24" s="43">
        <v>1500</v>
      </c>
      <c r="F24" s="2" t="s">
        <v>7</v>
      </c>
      <c r="H24" s="108" t="s">
        <v>11</v>
      </c>
      <c r="I24" s="109"/>
      <c r="J24" s="109"/>
      <c r="K24" s="110"/>
      <c r="M24" s="18"/>
      <c r="N24" s="18"/>
      <c r="O24" s="18"/>
      <c r="P24" s="22"/>
    </row>
    <row r="25" spans="2:16" ht="18" x14ac:dyDescent="0.25">
      <c r="B25" s="95" t="s">
        <v>51</v>
      </c>
      <c r="C25" s="96"/>
      <c r="D25" s="96"/>
      <c r="E25" s="44">
        <v>40</v>
      </c>
      <c r="F25" s="2" t="s">
        <v>3</v>
      </c>
      <c r="H25" s="82" t="s">
        <v>25</v>
      </c>
      <c r="I25" s="83"/>
      <c r="J25" s="5">
        <f>CEILING((((E51/(J22*10^-6))*E53)+E32)*1.5,0.2)</f>
        <v>1.4000000000000001</v>
      </c>
      <c r="K25" s="4" t="s">
        <v>4</v>
      </c>
      <c r="M25" s="18"/>
      <c r="N25" s="18"/>
      <c r="O25" s="18"/>
      <c r="P25" s="22"/>
    </row>
    <row r="26" spans="2:16" ht="18" x14ac:dyDescent="0.25">
      <c r="B26" s="95" t="s">
        <v>19</v>
      </c>
      <c r="C26" s="96"/>
      <c r="D26" s="96"/>
      <c r="E26" s="42">
        <v>4000</v>
      </c>
      <c r="F26" s="6" t="s">
        <v>12</v>
      </c>
      <c r="H26" s="82" t="s">
        <v>26</v>
      </c>
      <c r="I26" s="83"/>
      <c r="J26" s="7">
        <f>CEILING(E23*1.2,5)</f>
        <v>25</v>
      </c>
      <c r="K26" s="4" t="s">
        <v>3</v>
      </c>
      <c r="M26" s="18"/>
      <c r="N26" s="18"/>
      <c r="O26" s="18"/>
      <c r="P26" s="22"/>
    </row>
    <row r="27" spans="2:16" ht="15.75" thickBot="1" x14ac:dyDescent="0.3">
      <c r="B27" s="111" t="s">
        <v>86</v>
      </c>
      <c r="C27" s="112"/>
      <c r="D27" s="112"/>
      <c r="E27" s="45">
        <v>85</v>
      </c>
      <c r="F27" s="8" t="s">
        <v>8</v>
      </c>
      <c r="H27" s="79" t="s">
        <v>53</v>
      </c>
      <c r="I27" s="80"/>
      <c r="J27" s="80"/>
      <c r="K27" s="81"/>
      <c r="M27" s="18"/>
      <c r="N27" s="18"/>
      <c r="O27" s="18"/>
    </row>
    <row r="28" spans="2:16" ht="18.75" thickBot="1" x14ac:dyDescent="0.3">
      <c r="B28" s="113"/>
      <c r="C28" s="113"/>
      <c r="D28" s="113"/>
      <c r="E28" s="9"/>
      <c r="H28" s="82" t="s">
        <v>27</v>
      </c>
      <c r="I28" s="83"/>
      <c r="J28" s="10">
        <f>CEILING((((E51/(J22*10^-6))*E53)+E32)*1.5,0.2)</f>
        <v>1.4000000000000001</v>
      </c>
      <c r="K28" s="4" t="s">
        <v>4</v>
      </c>
      <c r="M28" s="18"/>
      <c r="N28" s="18"/>
      <c r="O28" s="18"/>
    </row>
    <row r="29" spans="2:16" ht="19.5" thickBot="1" x14ac:dyDescent="0.35">
      <c r="B29" s="99" t="s">
        <v>18</v>
      </c>
      <c r="C29" s="100"/>
      <c r="D29" s="100"/>
      <c r="E29" s="100"/>
      <c r="F29" s="101"/>
      <c r="H29" s="82" t="s">
        <v>28</v>
      </c>
      <c r="I29" s="83"/>
      <c r="J29" s="10">
        <v>30</v>
      </c>
      <c r="K29" s="4" t="s">
        <v>3</v>
      </c>
      <c r="M29" s="18"/>
      <c r="N29" s="18"/>
      <c r="O29" s="18"/>
    </row>
    <row r="30" spans="2:16" x14ac:dyDescent="0.25">
      <c r="B30" s="102" t="s">
        <v>0</v>
      </c>
      <c r="C30" s="103"/>
      <c r="D30" s="103"/>
      <c r="E30" s="34">
        <f>E22*E23</f>
        <v>7</v>
      </c>
      <c r="F30" s="35" t="s">
        <v>5</v>
      </c>
      <c r="H30" s="79" t="s">
        <v>54</v>
      </c>
      <c r="I30" s="80"/>
      <c r="J30" s="80"/>
      <c r="K30" s="81"/>
      <c r="M30" s="18"/>
      <c r="N30" s="18"/>
      <c r="O30" s="18"/>
    </row>
    <row r="31" spans="2:16" ht="18" x14ac:dyDescent="0.25">
      <c r="B31" s="117" t="s">
        <v>20</v>
      </c>
      <c r="C31" s="118"/>
      <c r="D31" s="118"/>
      <c r="E31" s="30">
        <f>(E23/J38)*J39</f>
        <v>0.19386106623586433</v>
      </c>
      <c r="F31" s="31" t="s">
        <v>3</v>
      </c>
      <c r="H31" s="82" t="s">
        <v>27</v>
      </c>
      <c r="I31" s="83"/>
      <c r="J31" s="10">
        <f>CEILING(E22*1.5,0.2)</f>
        <v>0.60000000000000009</v>
      </c>
      <c r="K31" s="4" t="s">
        <v>4</v>
      </c>
      <c r="M31" s="18"/>
      <c r="N31" s="18"/>
      <c r="O31" s="18"/>
    </row>
    <row r="32" spans="2:16" ht="18" x14ac:dyDescent="0.25">
      <c r="B32" s="119" t="s">
        <v>2</v>
      </c>
      <c r="C32" s="120"/>
      <c r="D32" s="120"/>
      <c r="E32" s="30">
        <f>(E30/(E27/100))/E21</f>
        <v>0.68627450980392168</v>
      </c>
      <c r="F32" s="31" t="s">
        <v>4</v>
      </c>
      <c r="H32" s="82" t="s">
        <v>28</v>
      </c>
      <c r="I32" s="83"/>
      <c r="J32" s="10">
        <f>CEILING(E23+5,10)</f>
        <v>30</v>
      </c>
      <c r="K32" s="4" t="s">
        <v>3</v>
      </c>
      <c r="M32" s="18"/>
      <c r="N32" s="18"/>
      <c r="O32" s="18"/>
    </row>
    <row r="33" spans="2:15" ht="18.75" thickBot="1" x14ac:dyDescent="0.4">
      <c r="B33" s="121" t="s">
        <v>48</v>
      </c>
      <c r="C33" s="122"/>
      <c r="D33" s="122"/>
      <c r="E33" s="32">
        <f>((E51/(J22*10^-6))*E53)+E32</f>
        <v>0.93292374065031347</v>
      </c>
      <c r="F33" s="33" t="s">
        <v>4</v>
      </c>
      <c r="H33" s="79" t="s">
        <v>16</v>
      </c>
      <c r="I33" s="80"/>
      <c r="J33" s="80"/>
      <c r="K33" s="81"/>
      <c r="M33" s="18"/>
      <c r="N33" s="18"/>
      <c r="O33" s="18"/>
    </row>
    <row r="34" spans="2:15" ht="18" x14ac:dyDescent="0.35">
      <c r="B34" s="123"/>
      <c r="C34" s="123"/>
      <c r="D34" s="123"/>
      <c r="E34" s="16"/>
      <c r="F34" s="17"/>
      <c r="H34" s="97" t="s">
        <v>29</v>
      </c>
      <c r="I34" s="98"/>
      <c r="J34" s="3">
        <f>E31/E32</f>
        <v>0.282483267943688</v>
      </c>
      <c r="K34" s="11" t="s">
        <v>12</v>
      </c>
      <c r="M34" s="18"/>
      <c r="N34" s="18"/>
      <c r="O34" s="18"/>
    </row>
    <row r="35" spans="2:15" x14ac:dyDescent="0.25">
      <c r="B35" s="139" t="s">
        <v>52</v>
      </c>
      <c r="C35" s="139"/>
      <c r="D35" s="139"/>
      <c r="E35" s="139"/>
      <c r="F35" s="139"/>
      <c r="H35" s="97" t="s">
        <v>10</v>
      </c>
      <c r="I35" s="98"/>
      <c r="J35" s="12">
        <f>(E32^2)*J34</f>
        <v>0.13304190820108341</v>
      </c>
      <c r="K35" s="4" t="s">
        <v>5</v>
      </c>
    </row>
    <row r="36" spans="2:15" ht="18" customHeight="1" x14ac:dyDescent="0.25">
      <c r="B36" s="140" t="s">
        <v>126</v>
      </c>
      <c r="C36" s="140"/>
      <c r="D36" s="140"/>
      <c r="E36" s="140"/>
      <c r="F36" s="140"/>
      <c r="H36" s="97" t="s">
        <v>30</v>
      </c>
      <c r="I36" s="98"/>
      <c r="J36" s="13" t="str">
        <f>IF(J35&lt;1,IF(J35&lt;0.75,IF(J35&lt;0.5,IF(J35&lt;0.25,IF(J35&lt;0.125,IF(J35&lt;0.1,IF(J35&lt;0.062,"0402","0603"),"0805"),"1206"),"1210"),"1812"),"2512"),"Reduce RSEN or VADJ")</f>
        <v>1206</v>
      </c>
      <c r="K36" s="4"/>
    </row>
    <row r="37" spans="2:15" x14ac:dyDescent="0.25">
      <c r="B37" s="140"/>
      <c r="C37" s="140"/>
      <c r="D37" s="140"/>
      <c r="E37" s="140"/>
      <c r="F37" s="140"/>
      <c r="H37" s="79" t="s">
        <v>22</v>
      </c>
      <c r="I37" s="80"/>
      <c r="J37" s="80"/>
      <c r="K37" s="81"/>
    </row>
    <row r="38" spans="2:15" ht="18" x14ac:dyDescent="0.25">
      <c r="B38" s="140"/>
      <c r="C38" s="140"/>
      <c r="D38" s="140"/>
      <c r="E38" s="140"/>
      <c r="F38" s="140"/>
      <c r="H38" s="106" t="s">
        <v>31</v>
      </c>
      <c r="I38" s="116"/>
      <c r="J38" s="3">
        <f>(E25-0.384)/(0.384/E26)</f>
        <v>412666.66666666663</v>
      </c>
      <c r="K38" s="11" t="s">
        <v>12</v>
      </c>
    </row>
    <row r="39" spans="2:15" ht="18" x14ac:dyDescent="0.25">
      <c r="B39" s="140"/>
      <c r="C39" s="140"/>
      <c r="D39" s="140"/>
      <c r="E39" s="140"/>
      <c r="F39" s="140"/>
      <c r="H39" s="106" t="s">
        <v>19</v>
      </c>
      <c r="I39" s="116"/>
      <c r="J39" s="3">
        <f>E26</f>
        <v>4000</v>
      </c>
      <c r="K39" s="11" t="s">
        <v>12</v>
      </c>
    </row>
    <row r="40" spans="2:15" x14ac:dyDescent="0.25">
      <c r="H40" s="79" t="s">
        <v>23</v>
      </c>
      <c r="I40" s="80"/>
      <c r="J40" s="80"/>
      <c r="K40" s="81"/>
    </row>
    <row r="41" spans="2:15" ht="18.75" thickBot="1" x14ac:dyDescent="0.3">
      <c r="H41" s="114" t="s">
        <v>32</v>
      </c>
      <c r="I41" s="115"/>
      <c r="J41" s="14" t="str">
        <f>IF(E30&gt;6, IF(E30&gt;10, IF(E30&gt;25, IF(E30&gt;30, "1000","680"),"470"),"330"),"220")</f>
        <v>330</v>
      </c>
      <c r="K41" s="15" t="s">
        <v>15</v>
      </c>
    </row>
    <row r="43" spans="2:15" ht="19.5" hidden="1" customHeight="1" thickBot="1" x14ac:dyDescent="0.35">
      <c r="B43" s="133" t="s">
        <v>45</v>
      </c>
      <c r="C43" s="134"/>
      <c r="D43" s="134"/>
      <c r="E43" s="134"/>
      <c r="F43" s="135"/>
    </row>
    <row r="44" spans="2:15" ht="15" hidden="1" customHeight="1" x14ac:dyDescent="0.25">
      <c r="B44" s="136" t="s">
        <v>36</v>
      </c>
      <c r="C44" s="137"/>
      <c r="D44" s="138"/>
      <c r="E44" s="37">
        <v>0.3</v>
      </c>
      <c r="F44" s="38" t="s">
        <v>3</v>
      </c>
    </row>
    <row r="45" spans="2:15" ht="15" hidden="1" customHeight="1" x14ac:dyDescent="0.25">
      <c r="B45" s="130" t="s">
        <v>37</v>
      </c>
      <c r="C45" s="131"/>
      <c r="D45" s="132"/>
      <c r="E45" s="24">
        <v>0.4</v>
      </c>
      <c r="F45" s="23" t="s">
        <v>12</v>
      </c>
    </row>
    <row r="46" spans="2:15" ht="18" hidden="1" customHeight="1" x14ac:dyDescent="0.25">
      <c r="B46" s="130" t="s">
        <v>38</v>
      </c>
      <c r="C46" s="131"/>
      <c r="D46" s="132"/>
      <c r="E46" s="24">
        <v>0.25</v>
      </c>
      <c r="F46" s="23" t="s">
        <v>12</v>
      </c>
    </row>
    <row r="47" spans="2:15" ht="15" hidden="1" customHeight="1" x14ac:dyDescent="0.25">
      <c r="B47" s="130" t="s">
        <v>39</v>
      </c>
      <c r="C47" s="131"/>
      <c r="D47" s="132"/>
      <c r="E47" s="24">
        <v>0.2</v>
      </c>
      <c r="F47" s="23" t="s">
        <v>12</v>
      </c>
    </row>
    <row r="48" spans="2:15" ht="15" hidden="1" customHeight="1" x14ac:dyDescent="0.25">
      <c r="B48" s="124" t="s">
        <v>42</v>
      </c>
      <c r="C48" s="125"/>
      <c r="D48" s="126"/>
      <c r="E48" s="25">
        <f>E45*E32</f>
        <v>0.27450980392156871</v>
      </c>
      <c r="F48" s="27" t="s">
        <v>3</v>
      </c>
    </row>
    <row r="49" spans="2:6" ht="18" hidden="1" customHeight="1" x14ac:dyDescent="0.25">
      <c r="B49" s="124" t="s">
        <v>41</v>
      </c>
      <c r="C49" s="125"/>
      <c r="D49" s="126"/>
      <c r="E49" s="25">
        <f>E46*E32</f>
        <v>0.17156862745098042</v>
      </c>
      <c r="F49" s="27" t="s">
        <v>3</v>
      </c>
    </row>
    <row r="50" spans="2:6" ht="18" hidden="1" customHeight="1" x14ac:dyDescent="0.25">
      <c r="B50" s="124" t="s">
        <v>40</v>
      </c>
      <c r="C50" s="125"/>
      <c r="D50" s="126"/>
      <c r="E50" s="25">
        <f>E32*E47</f>
        <v>0.13725490196078435</v>
      </c>
      <c r="F50" s="27" t="s">
        <v>3</v>
      </c>
    </row>
    <row r="51" spans="2:6" ht="18" hidden="1" customHeight="1" x14ac:dyDescent="0.25">
      <c r="B51" s="124" t="s">
        <v>43</v>
      </c>
      <c r="C51" s="125"/>
      <c r="D51" s="126"/>
      <c r="E51" s="25">
        <f>E21-E44-E50-E48-E31-E49</f>
        <v>10.922805600430801</v>
      </c>
      <c r="F51" s="27" t="s">
        <v>3</v>
      </c>
    </row>
    <row r="52" spans="2:6" ht="18" hidden="1" customHeight="1" x14ac:dyDescent="0.25">
      <c r="B52" s="124" t="s">
        <v>44</v>
      </c>
      <c r="C52" s="125"/>
      <c r="D52" s="126"/>
      <c r="E52" s="25">
        <f>E23+E44+E44+E50+E31+E48-E21</f>
        <v>9.2056257721182178</v>
      </c>
      <c r="F52" s="27" t="s">
        <v>3</v>
      </c>
    </row>
    <row r="53" spans="2:6" ht="15" hidden="1" customHeight="1" x14ac:dyDescent="0.25">
      <c r="B53" s="124" t="s">
        <v>46</v>
      </c>
      <c r="C53" s="125"/>
      <c r="D53" s="126"/>
      <c r="E53" s="26">
        <f>((((0.0149/J34)*J22*10^-6)/E51)+(84*10^-9))*2</f>
        <v>2.9355461575518931E-7</v>
      </c>
      <c r="F53" s="27" t="s">
        <v>35</v>
      </c>
    </row>
    <row r="54" spans="2:6" ht="15" hidden="1" customHeight="1" x14ac:dyDescent="0.25">
      <c r="B54" s="124" t="s">
        <v>47</v>
      </c>
      <c r="C54" s="125"/>
      <c r="D54" s="126"/>
      <c r="E54" s="26">
        <f>((((0.0149/J34)*J22*10^-6)/E52)+(68*10^-9))*2</f>
        <v>2.849750609116014E-7</v>
      </c>
      <c r="F54" s="27" t="s">
        <v>35</v>
      </c>
    </row>
    <row r="55" spans="2:6" ht="15.75" hidden="1" customHeight="1" thickBot="1" x14ac:dyDescent="0.3">
      <c r="B55" s="127" t="s">
        <v>34</v>
      </c>
      <c r="C55" s="128"/>
      <c r="D55" s="129"/>
      <c r="E55" s="28">
        <f>1/(E24*1000)</f>
        <v>6.6666666666666671E-7</v>
      </c>
      <c r="F55" s="29" t="s">
        <v>35</v>
      </c>
    </row>
  </sheetData>
  <sheetProtection password="C407" sheet="1" objects="1" scenarios="1" selectLockedCells="1"/>
  <mergeCells count="52">
    <mergeCell ref="B43:F43"/>
    <mergeCell ref="B44:D44"/>
    <mergeCell ref="B35:F35"/>
    <mergeCell ref="B50:D50"/>
    <mergeCell ref="B51:D51"/>
    <mergeCell ref="B36:F39"/>
    <mergeCell ref="B52:D52"/>
    <mergeCell ref="B55:D55"/>
    <mergeCell ref="B45:D45"/>
    <mergeCell ref="B46:D46"/>
    <mergeCell ref="B54:D54"/>
    <mergeCell ref="B53:D53"/>
    <mergeCell ref="B47:D47"/>
    <mergeCell ref="B48:D48"/>
    <mergeCell ref="B49:D49"/>
    <mergeCell ref="B28:D28"/>
    <mergeCell ref="H28:I28"/>
    <mergeCell ref="H33:K33"/>
    <mergeCell ref="H40:K40"/>
    <mergeCell ref="H41:I41"/>
    <mergeCell ref="H35:I35"/>
    <mergeCell ref="H36:I36"/>
    <mergeCell ref="H37:K37"/>
    <mergeCell ref="H38:I38"/>
    <mergeCell ref="H39:I39"/>
    <mergeCell ref="B31:D31"/>
    <mergeCell ref="H34:I34"/>
    <mergeCell ref="B32:D32"/>
    <mergeCell ref="B33:D33"/>
    <mergeCell ref="B34:D34"/>
    <mergeCell ref="B25:D25"/>
    <mergeCell ref="H25:I25"/>
    <mergeCell ref="B26:D26"/>
    <mergeCell ref="H26:I26"/>
    <mergeCell ref="B27:D27"/>
    <mergeCell ref="H27:K27"/>
    <mergeCell ref="H30:K30"/>
    <mergeCell ref="H31:I31"/>
    <mergeCell ref="H32:I32"/>
    <mergeCell ref="B20:F20"/>
    <mergeCell ref="H20:K20"/>
    <mergeCell ref="B21:D21"/>
    <mergeCell ref="H21:K21"/>
    <mergeCell ref="B22:D22"/>
    <mergeCell ref="H22:I22"/>
    <mergeCell ref="B29:F29"/>
    <mergeCell ref="H29:I29"/>
    <mergeCell ref="B30:D30"/>
    <mergeCell ref="B23:D23"/>
    <mergeCell ref="H23:I23"/>
    <mergeCell ref="B24:D24"/>
    <mergeCell ref="H24:K24"/>
  </mergeCells>
  <conditionalFormatting sqref="E25:E27 E21:E23">
    <cfRule type="cellIs" dxfId="36" priority="10" operator="lessThanOrEqual">
      <formula>0</formula>
    </cfRule>
  </conditionalFormatting>
  <conditionalFormatting sqref="E23">
    <cfRule type="cellIs" dxfId="35" priority="5" operator="greaterThan">
      <formula>42</formula>
    </cfRule>
    <cfRule type="cellIs" dxfId="34" priority="9" operator="lessThanOrEqual">
      <formula>$E$21+2.1</formula>
    </cfRule>
  </conditionalFormatting>
  <conditionalFormatting sqref="E25">
    <cfRule type="cellIs" dxfId="33" priority="6" operator="greaterThan">
      <formula>42</formula>
    </cfRule>
    <cfRule type="cellIs" dxfId="32" priority="18" operator="lessThanOrEqual">
      <formula>$E$23+$E$31</formula>
    </cfRule>
  </conditionalFormatting>
  <conditionalFormatting sqref="E21">
    <cfRule type="cellIs" priority="7" operator="greaterThanOrEqual">
      <formula>42</formula>
    </cfRule>
  </conditionalFormatting>
  <conditionalFormatting sqref="E32">
    <cfRule type="cellIs" dxfId="31" priority="4" operator="greaterThan">
      <formula>1.1</formula>
    </cfRule>
  </conditionalFormatting>
  <conditionalFormatting sqref="E31">
    <cfRule type="cellIs" dxfId="30" priority="3" operator="greaterThan">
      <formula>0.32</formula>
    </cfRule>
  </conditionalFormatting>
  <conditionalFormatting sqref="B36:F38">
    <cfRule type="expression" dxfId="29" priority="2">
      <formula>$E$32&gt;1.1</formula>
    </cfRule>
  </conditionalFormatting>
  <conditionalFormatting sqref="B35:F35">
    <cfRule type="expression" dxfId="28" priority="1">
      <formula>$E$31&gt;0.32</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r:id="rId5">
            <anchor moveWithCells="1">
              <from>
                <xdr:col>1</xdr:col>
                <xdr:colOff>9525</xdr:colOff>
                <xdr:row>2</xdr:row>
                <xdr:rowOff>19050</xdr:rowOff>
              </from>
              <to>
                <xdr:col>10</xdr:col>
                <xdr:colOff>447675</xdr:colOff>
                <xdr:row>17</xdr:row>
                <xdr:rowOff>95250</xdr:rowOff>
              </to>
            </anchor>
          </objectPr>
        </oleObject>
      </mc:Choice>
      <mc:Fallback>
        <oleObject progId="Visio.Drawing.11"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55"/>
  <sheetViews>
    <sheetView topLeftCell="A3" zoomScale="90" zoomScaleNormal="90" workbookViewId="0">
      <selection activeCell="E21" sqref="E21"/>
    </sheetView>
  </sheetViews>
  <sheetFormatPr defaultRowHeight="15" x14ac:dyDescent="0.25"/>
  <cols>
    <col min="1" max="4" width="9.140625" style="1"/>
    <col min="5" max="5" width="12.28515625" style="1" customWidth="1"/>
    <col min="6" max="7" width="9.140625" style="1"/>
    <col min="8" max="8" width="12" style="1" bestFit="1" customWidth="1"/>
    <col min="9" max="9" width="7.140625" style="1" customWidth="1"/>
    <col min="10" max="10" width="16.85546875" style="1" customWidth="1"/>
    <col min="11" max="11" width="11.7109375" style="1" customWidth="1"/>
    <col min="12" max="15" width="9.140625" style="1"/>
    <col min="16" max="16" width="14.140625" style="1" customWidth="1"/>
    <col min="17" max="16384" width="9.140625" style="1"/>
  </cols>
  <sheetData>
    <row r="1" spans="2:17" x14ac:dyDescent="0.25">
      <c r="B1" s="1" t="s">
        <v>58</v>
      </c>
      <c r="E1" s="47" t="s">
        <v>94</v>
      </c>
      <c r="G1" s="39"/>
      <c r="H1" s="47"/>
      <c r="I1" s="39" t="s">
        <v>56</v>
      </c>
      <c r="J1" s="40">
        <v>41400</v>
      </c>
      <c r="K1" s="47" t="s">
        <v>127</v>
      </c>
    </row>
    <row r="3" spans="2:17" x14ac:dyDescent="0.25">
      <c r="M3" s="18"/>
      <c r="N3" s="18"/>
      <c r="O3" s="18"/>
    </row>
    <row r="4" spans="2:17" x14ac:dyDescent="0.25">
      <c r="M4" s="18"/>
      <c r="N4" s="18"/>
      <c r="O4" s="18"/>
      <c r="P4" s="9"/>
    </row>
    <row r="5" spans="2:17" x14ac:dyDescent="0.25">
      <c r="M5" s="18"/>
      <c r="N5" s="18"/>
      <c r="O5" s="18"/>
      <c r="P5" s="9"/>
    </row>
    <row r="6" spans="2:17" x14ac:dyDescent="0.25">
      <c r="M6" s="18"/>
      <c r="N6" s="18"/>
      <c r="O6" s="18"/>
      <c r="P6" s="9"/>
    </row>
    <row r="7" spans="2:17" x14ac:dyDescent="0.25">
      <c r="M7" s="18"/>
      <c r="N7" s="18"/>
      <c r="O7" s="18"/>
      <c r="P7" s="9"/>
    </row>
    <row r="8" spans="2:17" x14ac:dyDescent="0.25">
      <c r="M8" s="18"/>
      <c r="N8" s="18"/>
      <c r="O8" s="18"/>
      <c r="P8" s="21"/>
    </row>
    <row r="9" spans="2:17" x14ac:dyDescent="0.25">
      <c r="M9" s="18"/>
      <c r="N9" s="18"/>
      <c r="O9" s="18"/>
      <c r="P9" s="9"/>
    </row>
    <row r="10" spans="2:17" x14ac:dyDescent="0.25">
      <c r="M10" s="18"/>
      <c r="N10" s="18"/>
      <c r="O10" s="18"/>
      <c r="P10" s="19"/>
      <c r="Q10" s="20"/>
    </row>
    <row r="11" spans="2:17" x14ac:dyDescent="0.25">
      <c r="M11" s="18"/>
      <c r="N11" s="18"/>
      <c r="O11" s="18"/>
      <c r="P11" s="9"/>
    </row>
    <row r="12" spans="2:17" x14ac:dyDescent="0.25">
      <c r="M12" s="18"/>
      <c r="N12" s="18"/>
      <c r="O12" s="18"/>
      <c r="P12" s="9"/>
    </row>
    <row r="13" spans="2:17" x14ac:dyDescent="0.25">
      <c r="M13" s="18"/>
      <c r="N13" s="18"/>
      <c r="O13" s="18"/>
      <c r="P13" s="9"/>
    </row>
    <row r="14" spans="2:17" x14ac:dyDescent="0.25">
      <c r="M14" s="18"/>
      <c r="N14" s="18"/>
      <c r="O14" s="18"/>
      <c r="P14" s="9"/>
    </row>
    <row r="15" spans="2:17" x14ac:dyDescent="0.25">
      <c r="M15" s="18"/>
      <c r="N15" s="18"/>
      <c r="O15" s="18"/>
      <c r="P15" s="9"/>
    </row>
    <row r="16" spans="2:17" x14ac:dyDescent="0.25">
      <c r="M16" s="18"/>
      <c r="N16" s="18"/>
      <c r="O16" s="18"/>
    </row>
    <row r="17" spans="2:16" x14ac:dyDescent="0.25">
      <c r="M17" s="18"/>
      <c r="N17" s="18"/>
      <c r="O17" s="18"/>
      <c r="P17" s="9"/>
    </row>
    <row r="18" spans="2:16" x14ac:dyDescent="0.25">
      <c r="M18" s="18"/>
      <c r="N18" s="18"/>
      <c r="O18" s="18"/>
      <c r="P18" s="9"/>
    </row>
    <row r="19" spans="2:16" ht="15.75" thickBot="1" x14ac:dyDescent="0.3">
      <c r="M19" s="18"/>
      <c r="N19" s="18"/>
      <c r="O19" s="18"/>
      <c r="P19" s="9"/>
    </row>
    <row r="20" spans="2:16" ht="19.5" thickBot="1" x14ac:dyDescent="0.35">
      <c r="B20" s="84" t="s">
        <v>17</v>
      </c>
      <c r="C20" s="85"/>
      <c r="D20" s="85"/>
      <c r="E20" s="85"/>
      <c r="F20" s="86"/>
      <c r="H20" s="87" t="s">
        <v>21</v>
      </c>
      <c r="I20" s="88"/>
      <c r="J20" s="88"/>
      <c r="K20" s="89"/>
      <c r="M20" s="18"/>
      <c r="N20" s="18"/>
      <c r="O20" s="18"/>
      <c r="P20" s="9"/>
    </row>
    <row r="21" spans="2:16" x14ac:dyDescent="0.25">
      <c r="B21" s="90" t="s">
        <v>1</v>
      </c>
      <c r="C21" s="91"/>
      <c r="D21" s="91"/>
      <c r="E21" s="41">
        <v>12</v>
      </c>
      <c r="F21" s="36" t="s">
        <v>3</v>
      </c>
      <c r="H21" s="92" t="s">
        <v>83</v>
      </c>
      <c r="I21" s="93"/>
      <c r="J21" s="93"/>
      <c r="K21" s="94"/>
      <c r="M21" s="18"/>
      <c r="N21" s="18"/>
      <c r="O21" s="18"/>
      <c r="P21" s="9"/>
    </row>
    <row r="22" spans="2:16" x14ac:dyDescent="0.25">
      <c r="B22" s="95" t="s">
        <v>33</v>
      </c>
      <c r="C22" s="96"/>
      <c r="D22" s="96"/>
      <c r="E22" s="42">
        <v>0.35</v>
      </c>
      <c r="F22" s="2" t="s">
        <v>4</v>
      </c>
      <c r="H22" s="97" t="s">
        <v>9</v>
      </c>
      <c r="I22" s="98"/>
      <c r="J22" s="19">
        <f>CEILING(((J34*(E55/2-152*10^-9))/(0.0149/E51+0.0149/E52))*0.75*10^6,1)</f>
        <v>19</v>
      </c>
      <c r="K22" s="4" t="s">
        <v>13</v>
      </c>
      <c r="M22" s="18"/>
      <c r="N22" s="18"/>
      <c r="O22" s="18"/>
      <c r="P22" s="9"/>
    </row>
    <row r="23" spans="2:16" ht="18" x14ac:dyDescent="0.25">
      <c r="B23" s="104" t="s">
        <v>50</v>
      </c>
      <c r="C23" s="105"/>
      <c r="D23" s="105"/>
      <c r="E23" s="42">
        <v>20</v>
      </c>
      <c r="F23" s="2" t="s">
        <v>3</v>
      </c>
      <c r="H23" s="106" t="s">
        <v>24</v>
      </c>
      <c r="I23" s="107"/>
      <c r="J23" s="3">
        <f>CEILING((((E51/(J22*10^-6))*E53)+E32)*1.2,0.1)</f>
        <v>1.1000000000000001</v>
      </c>
      <c r="K23" s="4" t="s">
        <v>4</v>
      </c>
      <c r="M23" s="18"/>
      <c r="N23" s="18"/>
      <c r="O23" s="18"/>
      <c r="P23" s="9"/>
    </row>
    <row r="24" spans="2:16" x14ac:dyDescent="0.25">
      <c r="B24" s="95" t="s">
        <v>6</v>
      </c>
      <c r="C24" s="96"/>
      <c r="D24" s="96"/>
      <c r="E24" s="43">
        <v>1500</v>
      </c>
      <c r="F24" s="2" t="s">
        <v>7</v>
      </c>
      <c r="H24" s="108" t="s">
        <v>11</v>
      </c>
      <c r="I24" s="109"/>
      <c r="J24" s="109"/>
      <c r="K24" s="110"/>
      <c r="M24" s="18"/>
      <c r="N24" s="18"/>
      <c r="O24" s="18"/>
      <c r="P24" s="22"/>
    </row>
    <row r="25" spans="2:16" ht="18" x14ac:dyDescent="0.25">
      <c r="B25" s="95" t="s">
        <v>51</v>
      </c>
      <c r="C25" s="96"/>
      <c r="D25" s="96"/>
      <c r="E25" s="44">
        <v>40</v>
      </c>
      <c r="F25" s="2" t="s">
        <v>3</v>
      </c>
      <c r="H25" s="82" t="s">
        <v>25</v>
      </c>
      <c r="I25" s="83"/>
      <c r="J25" s="5">
        <f>CEILING((((E51/(J22*10^-6))*E53)+E32)*1.5,0.2)</f>
        <v>1.4000000000000001</v>
      </c>
      <c r="K25" s="4" t="s">
        <v>4</v>
      </c>
      <c r="M25" s="18"/>
      <c r="N25" s="18"/>
      <c r="O25" s="18"/>
      <c r="P25" s="22"/>
    </row>
    <row r="26" spans="2:16" ht="18" x14ac:dyDescent="0.25">
      <c r="B26" s="95" t="s">
        <v>19</v>
      </c>
      <c r="C26" s="96"/>
      <c r="D26" s="96"/>
      <c r="E26" s="42">
        <v>4000</v>
      </c>
      <c r="F26" s="6" t="s">
        <v>12</v>
      </c>
      <c r="H26" s="82" t="s">
        <v>26</v>
      </c>
      <c r="I26" s="83"/>
      <c r="J26" s="7">
        <f>CEILING(E23*1.2,5)</f>
        <v>25</v>
      </c>
      <c r="K26" s="4" t="s">
        <v>3</v>
      </c>
      <c r="M26" s="18"/>
      <c r="N26" s="18"/>
      <c r="O26" s="18"/>
      <c r="P26" s="22"/>
    </row>
    <row r="27" spans="2:16" ht="15.75" thickBot="1" x14ac:dyDescent="0.3">
      <c r="B27" s="111" t="s">
        <v>86</v>
      </c>
      <c r="C27" s="112"/>
      <c r="D27" s="112"/>
      <c r="E27" s="45">
        <v>85</v>
      </c>
      <c r="F27" s="8" t="s">
        <v>8</v>
      </c>
      <c r="H27" s="79" t="s">
        <v>53</v>
      </c>
      <c r="I27" s="80"/>
      <c r="J27" s="80"/>
      <c r="K27" s="81"/>
      <c r="M27" s="18"/>
      <c r="N27" s="18"/>
      <c r="O27" s="18"/>
    </row>
    <row r="28" spans="2:16" ht="18.75" thickBot="1" x14ac:dyDescent="0.3">
      <c r="B28" s="113"/>
      <c r="C28" s="113"/>
      <c r="D28" s="113"/>
      <c r="E28" s="9"/>
      <c r="H28" s="82" t="s">
        <v>27</v>
      </c>
      <c r="I28" s="83"/>
      <c r="J28" s="10">
        <f>CEILING((((E51/(J22*10^-6))*E53)+E32)*1.5,0.2)</f>
        <v>1.4000000000000001</v>
      </c>
      <c r="K28" s="4" t="s">
        <v>4</v>
      </c>
      <c r="M28" s="18"/>
      <c r="N28" s="18"/>
      <c r="O28" s="18"/>
    </row>
    <row r="29" spans="2:16" ht="19.5" thickBot="1" x14ac:dyDescent="0.35">
      <c r="B29" s="99" t="s">
        <v>18</v>
      </c>
      <c r="C29" s="100"/>
      <c r="D29" s="100"/>
      <c r="E29" s="100"/>
      <c r="F29" s="101"/>
      <c r="H29" s="82" t="s">
        <v>28</v>
      </c>
      <c r="I29" s="83"/>
      <c r="J29" s="10">
        <v>30</v>
      </c>
      <c r="K29" s="4" t="s">
        <v>3</v>
      </c>
      <c r="M29" s="18"/>
      <c r="N29" s="18"/>
      <c r="O29" s="18"/>
    </row>
    <row r="30" spans="2:16" x14ac:dyDescent="0.25">
      <c r="B30" s="102" t="s">
        <v>0</v>
      </c>
      <c r="C30" s="103"/>
      <c r="D30" s="103"/>
      <c r="E30" s="34">
        <f>E22*E23</f>
        <v>7</v>
      </c>
      <c r="F30" s="35" t="s">
        <v>5</v>
      </c>
      <c r="H30" s="79" t="s">
        <v>57</v>
      </c>
      <c r="I30" s="80"/>
      <c r="J30" s="80"/>
      <c r="K30" s="81"/>
      <c r="M30" s="18"/>
      <c r="N30" s="18"/>
      <c r="O30" s="18"/>
    </row>
    <row r="31" spans="2:16" ht="18" x14ac:dyDescent="0.25">
      <c r="B31" s="117" t="s">
        <v>20</v>
      </c>
      <c r="C31" s="118"/>
      <c r="D31" s="118"/>
      <c r="E31" s="30">
        <f>(E23/J38)*J39</f>
        <v>0.19386106623586433</v>
      </c>
      <c r="F31" s="31" t="s">
        <v>3</v>
      </c>
      <c r="H31" s="82" t="s">
        <v>27</v>
      </c>
      <c r="I31" s="83"/>
      <c r="J31" s="10">
        <f>CEILING(E22*1.5,0.2)</f>
        <v>0.60000000000000009</v>
      </c>
      <c r="K31" s="4" t="s">
        <v>4</v>
      </c>
      <c r="M31" s="18"/>
      <c r="N31" s="18"/>
      <c r="O31" s="18"/>
    </row>
    <row r="32" spans="2:16" ht="18" x14ac:dyDescent="0.25">
      <c r="B32" s="119" t="s">
        <v>2</v>
      </c>
      <c r="C32" s="120"/>
      <c r="D32" s="120"/>
      <c r="E32" s="30">
        <f>(E30/(E27/100))/E21</f>
        <v>0.68627450980392168</v>
      </c>
      <c r="F32" s="31" t="s">
        <v>4</v>
      </c>
      <c r="H32" s="82" t="s">
        <v>28</v>
      </c>
      <c r="I32" s="83"/>
      <c r="J32" s="10">
        <f>CEILING(E23+E21*1.414+5,10)</f>
        <v>50</v>
      </c>
      <c r="K32" s="4" t="s">
        <v>3</v>
      </c>
      <c r="M32" s="18"/>
      <c r="N32" s="18"/>
      <c r="O32" s="18"/>
    </row>
    <row r="33" spans="2:15" ht="18.75" thickBot="1" x14ac:dyDescent="0.4">
      <c r="B33" s="121" t="s">
        <v>48</v>
      </c>
      <c r="C33" s="122"/>
      <c r="D33" s="122"/>
      <c r="E33" s="32">
        <f>((E51/(J22*10^-6))*E53)+E32</f>
        <v>0.88757439633762425</v>
      </c>
      <c r="F33" s="33" t="s">
        <v>4</v>
      </c>
      <c r="H33" s="79" t="s">
        <v>16</v>
      </c>
      <c r="I33" s="80"/>
      <c r="J33" s="80"/>
      <c r="K33" s="81"/>
      <c r="M33" s="18"/>
      <c r="N33" s="18"/>
      <c r="O33" s="18"/>
    </row>
    <row r="34" spans="2:15" ht="18" x14ac:dyDescent="0.35">
      <c r="B34" s="123"/>
      <c r="C34" s="123"/>
      <c r="D34" s="123"/>
      <c r="E34" s="16"/>
      <c r="F34" s="17"/>
      <c r="H34" s="97" t="s">
        <v>29</v>
      </c>
      <c r="I34" s="98"/>
      <c r="J34" s="3">
        <f>E31/E32</f>
        <v>0.282483267943688</v>
      </c>
      <c r="K34" s="11" t="s">
        <v>12</v>
      </c>
      <c r="M34" s="18"/>
      <c r="N34" s="18"/>
      <c r="O34" s="18"/>
    </row>
    <row r="35" spans="2:15" x14ac:dyDescent="0.25">
      <c r="B35" s="139" t="s">
        <v>52</v>
      </c>
      <c r="C35" s="139"/>
      <c r="D35" s="139"/>
      <c r="E35" s="139"/>
      <c r="F35" s="139"/>
      <c r="H35" s="97" t="s">
        <v>10</v>
      </c>
      <c r="I35" s="98"/>
      <c r="J35" s="12">
        <f>(E32^2)*J34</f>
        <v>0.13304190820108341</v>
      </c>
      <c r="K35" s="4" t="s">
        <v>5</v>
      </c>
    </row>
    <row r="36" spans="2:15" x14ac:dyDescent="0.25">
      <c r="B36" s="140" t="s">
        <v>126</v>
      </c>
      <c r="C36" s="140"/>
      <c r="D36" s="140"/>
      <c r="E36" s="140"/>
      <c r="F36" s="140"/>
      <c r="H36" s="97" t="s">
        <v>30</v>
      </c>
      <c r="I36" s="98"/>
      <c r="J36" s="13" t="str">
        <f>IF(J35&lt;1,IF(J35&lt;0.75,IF(J35&lt;0.5,IF(J35&lt;0.25,IF(J35&lt;0.125,IF(J35&lt;0.1,IF(J35&lt;0.062,"0402","0603"),"0805"),"1206"),"1210"),"1812"),"2512"),"Reduce RSEN or VADJ")</f>
        <v>1206</v>
      </c>
      <c r="K36" s="4"/>
    </row>
    <row r="37" spans="2:15" x14ac:dyDescent="0.25">
      <c r="B37" s="140"/>
      <c r="C37" s="140"/>
      <c r="D37" s="140"/>
      <c r="E37" s="140"/>
      <c r="F37" s="140"/>
      <c r="H37" s="79" t="s">
        <v>22</v>
      </c>
      <c r="I37" s="80"/>
      <c r="J37" s="80"/>
      <c r="K37" s="81"/>
    </row>
    <row r="38" spans="2:15" ht="18" x14ac:dyDescent="0.25">
      <c r="B38" s="140"/>
      <c r="C38" s="140"/>
      <c r="D38" s="140"/>
      <c r="E38" s="140"/>
      <c r="F38" s="140"/>
      <c r="H38" s="106" t="s">
        <v>31</v>
      </c>
      <c r="I38" s="116"/>
      <c r="J38" s="3">
        <f>(E25-0.384)/(0.384/E26)</f>
        <v>412666.66666666663</v>
      </c>
      <c r="K38" s="11" t="s">
        <v>12</v>
      </c>
    </row>
    <row r="39" spans="2:15" ht="18" x14ac:dyDescent="0.25">
      <c r="B39" s="140"/>
      <c r="C39" s="140"/>
      <c r="D39" s="140"/>
      <c r="E39" s="140"/>
      <c r="F39" s="140"/>
      <c r="H39" s="106" t="s">
        <v>19</v>
      </c>
      <c r="I39" s="116"/>
      <c r="J39" s="3">
        <f>E26</f>
        <v>4000</v>
      </c>
      <c r="K39" s="11" t="s">
        <v>12</v>
      </c>
    </row>
    <row r="40" spans="2:15" x14ac:dyDescent="0.25">
      <c r="H40" s="79" t="s">
        <v>23</v>
      </c>
      <c r="I40" s="80"/>
      <c r="J40" s="80"/>
      <c r="K40" s="81"/>
    </row>
    <row r="41" spans="2:15" ht="18.75" thickBot="1" x14ac:dyDescent="0.3">
      <c r="H41" s="114" t="s">
        <v>32</v>
      </c>
      <c r="I41" s="115"/>
      <c r="J41" s="14" t="str">
        <f>IF(E30&gt;6, IF(E30&gt;10, IF(E30&gt;25, IF(E30&gt;30, "1000","680"),"470"),"330"),"220")</f>
        <v>330</v>
      </c>
      <c r="K41" s="15" t="s">
        <v>15</v>
      </c>
    </row>
    <row r="43" spans="2:15" ht="19.5" hidden="1" thickBot="1" x14ac:dyDescent="0.35">
      <c r="B43" s="143" t="s">
        <v>45</v>
      </c>
      <c r="C43" s="144"/>
      <c r="D43" s="144"/>
      <c r="E43" s="144"/>
      <c r="F43" s="145"/>
    </row>
    <row r="44" spans="2:15" hidden="1" x14ac:dyDescent="0.25">
      <c r="B44" s="146" t="s">
        <v>36</v>
      </c>
      <c r="C44" s="147"/>
      <c r="D44" s="147"/>
      <c r="E44" s="37">
        <v>0.3</v>
      </c>
      <c r="F44" s="38" t="s">
        <v>3</v>
      </c>
    </row>
    <row r="45" spans="2:15" hidden="1" x14ac:dyDescent="0.25">
      <c r="B45" s="148" t="s">
        <v>37</v>
      </c>
      <c r="C45" s="149"/>
      <c r="D45" s="149"/>
      <c r="E45" s="24">
        <v>0.4</v>
      </c>
      <c r="F45" s="23" t="s">
        <v>12</v>
      </c>
    </row>
    <row r="46" spans="2:15" ht="18" hidden="1" x14ac:dyDescent="0.25">
      <c r="B46" s="148" t="s">
        <v>38</v>
      </c>
      <c r="C46" s="149"/>
      <c r="D46" s="149"/>
      <c r="E46" s="24">
        <v>0.25</v>
      </c>
      <c r="F46" s="23" t="s">
        <v>12</v>
      </c>
    </row>
    <row r="47" spans="2:15" hidden="1" x14ac:dyDescent="0.25">
      <c r="B47" s="148" t="s">
        <v>39</v>
      </c>
      <c r="C47" s="149"/>
      <c r="D47" s="149"/>
      <c r="E47" s="24">
        <v>0.2</v>
      </c>
      <c r="F47" s="23" t="s">
        <v>12</v>
      </c>
    </row>
    <row r="48" spans="2:15" hidden="1" x14ac:dyDescent="0.25">
      <c r="B48" s="141" t="s">
        <v>42</v>
      </c>
      <c r="C48" s="142"/>
      <c r="D48" s="142"/>
      <c r="E48" s="25">
        <f>E45*E32</f>
        <v>0.27450980392156871</v>
      </c>
      <c r="F48" s="27" t="s">
        <v>3</v>
      </c>
    </row>
    <row r="49" spans="2:8" ht="18" hidden="1" x14ac:dyDescent="0.25">
      <c r="B49" s="141" t="s">
        <v>41</v>
      </c>
      <c r="C49" s="142"/>
      <c r="D49" s="142"/>
      <c r="E49" s="25">
        <f>E46*(E32+E22)</f>
        <v>0.25906862745098042</v>
      </c>
      <c r="F49" s="27" t="s">
        <v>3</v>
      </c>
    </row>
    <row r="50" spans="2:8" ht="18" hidden="1" x14ac:dyDescent="0.25">
      <c r="B50" s="141" t="s">
        <v>40</v>
      </c>
      <c r="C50" s="142"/>
      <c r="D50" s="142"/>
      <c r="E50" s="25">
        <f>E32*E47</f>
        <v>0.13725490196078435</v>
      </c>
      <c r="F50" s="27" t="s">
        <v>3</v>
      </c>
    </row>
    <row r="51" spans="2:8" ht="18" hidden="1" x14ac:dyDescent="0.25">
      <c r="B51" s="141" t="s">
        <v>43</v>
      </c>
      <c r="C51" s="142"/>
      <c r="D51" s="142"/>
      <c r="E51" s="25">
        <f>E21-E44-E50-E49-E31-E48</f>
        <v>10.8353056004308</v>
      </c>
      <c r="F51" s="27" t="s">
        <v>3</v>
      </c>
    </row>
    <row r="52" spans="2:8" ht="18" hidden="1" x14ac:dyDescent="0.25">
      <c r="B52" s="141" t="s">
        <v>44</v>
      </c>
      <c r="C52" s="142"/>
      <c r="D52" s="142"/>
      <c r="E52" s="25">
        <f>E44+E50+E44+E23+E31+E48</f>
        <v>21.205625772118218</v>
      </c>
      <c r="F52" s="27" t="s">
        <v>3</v>
      </c>
      <c r="H52" s="1" t="s">
        <v>49</v>
      </c>
    </row>
    <row r="53" spans="2:8" hidden="1" x14ac:dyDescent="0.25">
      <c r="B53" s="141" t="s">
        <v>46</v>
      </c>
      <c r="C53" s="142"/>
      <c r="D53" s="142"/>
      <c r="E53" s="26">
        <f>((((0.0149/J34)*J22*10^-6)/E51)+(84*10^-9))*2</f>
        <v>3.5298476897488544E-7</v>
      </c>
      <c r="F53" s="27" t="s">
        <v>35</v>
      </c>
    </row>
    <row r="54" spans="2:8" hidden="1" x14ac:dyDescent="0.25">
      <c r="B54" s="141" t="s">
        <v>47</v>
      </c>
      <c r="C54" s="142"/>
      <c r="D54" s="142"/>
      <c r="E54" s="26">
        <f>((((0.0149/J34)*J22*10^-6)/E52)+(68*10^-9))*2</f>
        <v>2.3052050719028411E-7</v>
      </c>
      <c r="F54" s="27" t="s">
        <v>35</v>
      </c>
    </row>
    <row r="55" spans="2:8" ht="15.75" hidden="1" thickBot="1" x14ac:dyDescent="0.3">
      <c r="B55" s="150" t="s">
        <v>34</v>
      </c>
      <c r="C55" s="151"/>
      <c r="D55" s="151"/>
      <c r="E55" s="28">
        <f>1/(E24*1000)</f>
        <v>6.6666666666666671E-7</v>
      </c>
      <c r="F55" s="29" t="s">
        <v>35</v>
      </c>
    </row>
  </sheetData>
  <sheetProtection password="C407" sheet="1" objects="1" scenarios="1" selectLockedCells="1"/>
  <mergeCells count="52">
    <mergeCell ref="B51:D51"/>
    <mergeCell ref="B52:D52"/>
    <mergeCell ref="B53:D53"/>
    <mergeCell ref="B54:D54"/>
    <mergeCell ref="B55:D55"/>
    <mergeCell ref="B50:D50"/>
    <mergeCell ref="H38:I38"/>
    <mergeCell ref="H39:I39"/>
    <mergeCell ref="H40:K40"/>
    <mergeCell ref="H41:I41"/>
    <mergeCell ref="B43:F43"/>
    <mergeCell ref="B44:D44"/>
    <mergeCell ref="B45:D45"/>
    <mergeCell ref="B46:D46"/>
    <mergeCell ref="B47:D47"/>
    <mergeCell ref="B48:D48"/>
    <mergeCell ref="B49:D49"/>
    <mergeCell ref="H35:I35"/>
    <mergeCell ref="B33:D33"/>
    <mergeCell ref="H36:I36"/>
    <mergeCell ref="B34:D34"/>
    <mergeCell ref="H37:K37"/>
    <mergeCell ref="B35:F35"/>
    <mergeCell ref="H34:I34"/>
    <mergeCell ref="H33:K33"/>
    <mergeCell ref="B36:F39"/>
    <mergeCell ref="H30:K30"/>
    <mergeCell ref="H31:I31"/>
    <mergeCell ref="H32:I32"/>
    <mergeCell ref="B32:D32"/>
    <mergeCell ref="B29:F29"/>
    <mergeCell ref="H29:I29"/>
    <mergeCell ref="B30:D30"/>
    <mergeCell ref="B31:D31"/>
    <mergeCell ref="B26:D26"/>
    <mergeCell ref="H26:I26"/>
    <mergeCell ref="B27:D27"/>
    <mergeCell ref="H27:K27"/>
    <mergeCell ref="B28:D28"/>
    <mergeCell ref="H28:I28"/>
    <mergeCell ref="B23:D23"/>
    <mergeCell ref="H23:I23"/>
    <mergeCell ref="B24:D24"/>
    <mergeCell ref="H24:K24"/>
    <mergeCell ref="B25:D25"/>
    <mergeCell ref="H25:I25"/>
    <mergeCell ref="B20:F20"/>
    <mergeCell ref="H20:K20"/>
    <mergeCell ref="B21:D21"/>
    <mergeCell ref="H21:K21"/>
    <mergeCell ref="B22:D22"/>
    <mergeCell ref="H22:I22"/>
  </mergeCells>
  <conditionalFormatting sqref="E21:E27">
    <cfRule type="cellIs" dxfId="27" priority="10" operator="lessThanOrEqual">
      <formula>0</formula>
    </cfRule>
  </conditionalFormatting>
  <conditionalFormatting sqref="E23">
    <cfRule type="cellIs" dxfId="26" priority="5" operator="greaterThan">
      <formula>42</formula>
    </cfRule>
    <cfRule type="cellIs" dxfId="25" priority="9" operator="lessThanOrEqual">
      <formula>5.8</formula>
    </cfRule>
  </conditionalFormatting>
  <conditionalFormatting sqref="E21">
    <cfRule type="cellIs" dxfId="24" priority="8" operator="greaterThanOrEqual">
      <formula>42</formula>
    </cfRule>
  </conditionalFormatting>
  <conditionalFormatting sqref="E25">
    <cfRule type="cellIs" dxfId="23" priority="6" operator="lessThanOrEqual">
      <formula>$E$23+$E$31</formula>
    </cfRule>
    <cfRule type="cellIs" dxfId="22" priority="7" operator="greaterThan">
      <formula>42</formula>
    </cfRule>
  </conditionalFormatting>
  <conditionalFormatting sqref="E32">
    <cfRule type="cellIs" dxfId="21" priority="4" operator="greaterThan">
      <formula>1.1</formula>
    </cfRule>
  </conditionalFormatting>
  <conditionalFormatting sqref="B36:F38">
    <cfRule type="expression" dxfId="20" priority="3">
      <formula>$E$32&gt;1.1</formula>
    </cfRule>
  </conditionalFormatting>
  <conditionalFormatting sqref="B35:F35">
    <cfRule type="expression" dxfId="19" priority="2">
      <formula>$E$31&gt;0.32</formula>
    </cfRule>
  </conditionalFormatting>
  <conditionalFormatting sqref="E31">
    <cfRule type="cellIs" dxfId="18" priority="1" operator="greaterThan">
      <formula>0.32</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3075" r:id="rId4">
          <objectPr defaultSize="0" autoPict="0" r:id="rId5">
            <anchor moveWithCells="1">
              <from>
                <xdr:col>1</xdr:col>
                <xdr:colOff>19050</xdr:colOff>
                <xdr:row>2</xdr:row>
                <xdr:rowOff>19050</xdr:rowOff>
              </from>
              <to>
                <xdr:col>11</xdr:col>
                <xdr:colOff>0</xdr:colOff>
                <xdr:row>17</xdr:row>
                <xdr:rowOff>123825</xdr:rowOff>
              </to>
            </anchor>
          </objectPr>
        </oleObject>
      </mc:Choice>
      <mc:Fallback>
        <oleObject progId="Visio.Drawing.11" shapeId="307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72"/>
  <sheetViews>
    <sheetView tabSelected="1" zoomScale="90" zoomScaleNormal="90" workbookViewId="0">
      <selection activeCell="E24" sqref="E24"/>
    </sheetView>
  </sheetViews>
  <sheetFormatPr defaultRowHeight="15" x14ac:dyDescent="0.25"/>
  <cols>
    <col min="1" max="4" width="9.140625" style="47"/>
    <col min="5" max="5" width="12.28515625" style="47" customWidth="1"/>
    <col min="6" max="7" width="9.140625" style="47"/>
    <col min="8" max="8" width="12" style="47" bestFit="1" customWidth="1"/>
    <col min="9" max="9" width="7.140625" style="47" customWidth="1"/>
    <col min="10" max="10" width="16.85546875" style="47" customWidth="1"/>
    <col min="11" max="11" width="11.7109375" style="47" customWidth="1"/>
    <col min="12" max="12" width="9.140625" style="47"/>
    <col min="13" max="13" width="12" style="47" customWidth="1"/>
    <col min="14" max="14" width="7.140625" style="47" customWidth="1"/>
    <col min="15" max="15" width="16.7109375" style="47" customWidth="1"/>
    <col min="16" max="22" width="9.140625" style="47"/>
    <col min="23" max="23" width="21.5703125" style="47" customWidth="1"/>
    <col min="24" max="24" width="9.140625" style="47" customWidth="1"/>
    <col min="25" max="16384" width="9.140625" style="47"/>
  </cols>
  <sheetData>
    <row r="1" spans="2:13" x14ac:dyDescent="0.25">
      <c r="B1" s="47" t="s">
        <v>55</v>
      </c>
      <c r="E1" s="47" t="s">
        <v>93</v>
      </c>
      <c r="I1" s="39" t="s">
        <v>56</v>
      </c>
      <c r="J1" s="40">
        <v>41400</v>
      </c>
      <c r="K1" s="47" t="s">
        <v>127</v>
      </c>
    </row>
    <row r="3" spans="2:13" x14ac:dyDescent="0.25">
      <c r="M3" s="18"/>
    </row>
    <row r="4" spans="2:13" x14ac:dyDescent="0.25">
      <c r="M4" s="18"/>
    </row>
    <row r="5" spans="2:13" x14ac:dyDescent="0.25">
      <c r="M5" s="18"/>
    </row>
    <row r="6" spans="2:13" x14ac:dyDescent="0.25">
      <c r="M6" s="18"/>
    </row>
    <row r="7" spans="2:13" x14ac:dyDescent="0.25">
      <c r="M7" s="18"/>
    </row>
    <row r="8" spans="2:13" x14ac:dyDescent="0.25">
      <c r="M8" s="18"/>
    </row>
    <row r="9" spans="2:13" x14ac:dyDescent="0.25">
      <c r="M9" s="18"/>
    </row>
    <row r="10" spans="2:13" x14ac:dyDescent="0.25">
      <c r="M10" s="18"/>
    </row>
    <row r="11" spans="2:13" x14ac:dyDescent="0.25">
      <c r="M11" s="18"/>
    </row>
    <row r="12" spans="2:13" x14ac:dyDescent="0.25">
      <c r="M12" s="18"/>
    </row>
    <row r="13" spans="2:13" x14ac:dyDescent="0.25">
      <c r="M13" s="18"/>
    </row>
    <row r="14" spans="2:13" x14ac:dyDescent="0.25">
      <c r="M14" s="18"/>
    </row>
    <row r="16" spans="2:13" x14ac:dyDescent="0.25">
      <c r="M16" s="18"/>
    </row>
    <row r="17" spans="2:16" x14ac:dyDescent="0.25">
      <c r="M17" s="18"/>
    </row>
    <row r="18" spans="2:16" x14ac:dyDescent="0.25">
      <c r="M18" s="18"/>
    </row>
    <row r="19" spans="2:16" ht="15.75" thickBot="1" x14ac:dyDescent="0.3">
      <c r="M19" s="18"/>
    </row>
    <row r="20" spans="2:16" ht="19.5" thickBot="1" x14ac:dyDescent="0.35">
      <c r="B20" s="84" t="s">
        <v>17</v>
      </c>
      <c r="C20" s="85"/>
      <c r="D20" s="85"/>
      <c r="E20" s="85"/>
      <c r="F20" s="86"/>
      <c r="H20" s="87" t="s">
        <v>21</v>
      </c>
      <c r="I20" s="88"/>
      <c r="J20" s="88"/>
      <c r="K20" s="89"/>
      <c r="M20" s="87" t="s">
        <v>21</v>
      </c>
      <c r="N20" s="88"/>
      <c r="O20" s="88"/>
      <c r="P20" s="89"/>
    </row>
    <row r="21" spans="2:16" x14ac:dyDescent="0.25">
      <c r="B21" s="90" t="s">
        <v>123</v>
      </c>
      <c r="C21" s="91"/>
      <c r="D21" s="91"/>
      <c r="E21" s="41">
        <v>16</v>
      </c>
      <c r="F21" s="36" t="s">
        <v>3</v>
      </c>
      <c r="H21" s="92" t="s">
        <v>14</v>
      </c>
      <c r="I21" s="93"/>
      <c r="J21" s="93"/>
      <c r="K21" s="94"/>
      <c r="M21" s="172" t="s">
        <v>100</v>
      </c>
      <c r="N21" s="173"/>
      <c r="O21" s="173"/>
      <c r="P21" s="174"/>
    </row>
    <row r="22" spans="2:16" ht="18" x14ac:dyDescent="0.35">
      <c r="B22" s="95" t="s">
        <v>91</v>
      </c>
      <c r="C22" s="96"/>
      <c r="D22" s="96"/>
      <c r="E22" s="61">
        <v>0.3</v>
      </c>
      <c r="F22" s="2" t="s">
        <v>4</v>
      </c>
      <c r="H22" s="97" t="s">
        <v>9</v>
      </c>
      <c r="I22" s="98"/>
      <c r="J22" s="19">
        <f>CEILING(((O22*(E56/2-152*10^-9))/(0.0149/E52+0.0149/E53))*0.75*10^6,1)</f>
        <v>11</v>
      </c>
      <c r="K22" s="4" t="s">
        <v>13</v>
      </c>
      <c r="M22" s="180" t="s">
        <v>99</v>
      </c>
      <c r="N22" s="181"/>
      <c r="O22" s="64">
        <f>E30/E31</f>
        <v>0.31733333333333336</v>
      </c>
      <c r="P22" s="49" t="s">
        <v>12</v>
      </c>
    </row>
    <row r="23" spans="2:16" ht="18" x14ac:dyDescent="0.25">
      <c r="B23" s="104" t="s">
        <v>116</v>
      </c>
      <c r="C23" s="105"/>
      <c r="D23" s="105"/>
      <c r="E23" s="61">
        <v>20</v>
      </c>
      <c r="F23" s="2" t="s">
        <v>3</v>
      </c>
      <c r="H23" s="106" t="s">
        <v>24</v>
      </c>
      <c r="I23" s="107"/>
      <c r="J23" s="64">
        <f>CEILING((((E52/(J22*10^-6))*E54)+E31)*1.2,0.1)</f>
        <v>1</v>
      </c>
      <c r="K23" s="4" t="s">
        <v>4</v>
      </c>
      <c r="M23" s="180" t="s">
        <v>10</v>
      </c>
      <c r="N23" s="181"/>
      <c r="O23" s="12">
        <f>(E31^2)*O22</f>
        <v>6.1764705882352944E-2</v>
      </c>
      <c r="P23" s="4" t="s">
        <v>5</v>
      </c>
    </row>
    <row r="24" spans="2:16" x14ac:dyDescent="0.25">
      <c r="B24" s="95" t="s">
        <v>6</v>
      </c>
      <c r="C24" s="96"/>
      <c r="D24" s="96"/>
      <c r="E24" s="43">
        <v>1500</v>
      </c>
      <c r="F24" s="2" t="s">
        <v>7</v>
      </c>
      <c r="H24" s="108" t="s">
        <v>11</v>
      </c>
      <c r="I24" s="109"/>
      <c r="J24" s="109"/>
      <c r="K24" s="110"/>
      <c r="M24" s="180" t="s">
        <v>30</v>
      </c>
      <c r="N24" s="181"/>
      <c r="O24" s="13" t="str">
        <f>IF(O23&lt;1,IF(O23&lt;0.75,IF(O23&lt;0.5,IF(O23&lt;0.25,IF(O23&lt;0.125,IF(O23&lt;0.1,IF(O23&lt;0.062,"0402","0603"),"0805"),"1206"),"1210"),"1812"),"2512"),"Reduce RSEN or VADJ")</f>
        <v>0402</v>
      </c>
      <c r="P24" s="4"/>
    </row>
    <row r="25" spans="2:16" ht="18.75" thickBot="1" x14ac:dyDescent="0.3">
      <c r="B25" s="111" t="s">
        <v>59</v>
      </c>
      <c r="C25" s="112"/>
      <c r="D25" s="112"/>
      <c r="E25" s="45">
        <v>85</v>
      </c>
      <c r="F25" s="8" t="s">
        <v>8</v>
      </c>
      <c r="H25" s="82" t="s">
        <v>25</v>
      </c>
      <c r="I25" s="83"/>
      <c r="J25" s="5">
        <f>CEILING((((E52/(J22*10^-6))*E54)+E31)*1.5,0.2)</f>
        <v>1.2000000000000002</v>
      </c>
      <c r="K25" s="4" t="s">
        <v>4</v>
      </c>
      <c r="M25" s="172" t="s">
        <v>107</v>
      </c>
      <c r="N25" s="173"/>
      <c r="O25" s="173"/>
      <c r="P25" s="174"/>
    </row>
    <row r="26" spans="2:16" ht="18" x14ac:dyDescent="0.25">
      <c r="H26" s="82" t="s">
        <v>26</v>
      </c>
      <c r="I26" s="83"/>
      <c r="J26" s="7" t="str">
        <f>IF(E23&lt;50, "60", "100")</f>
        <v>60</v>
      </c>
      <c r="K26" s="4" t="s">
        <v>3</v>
      </c>
      <c r="M26" s="106" t="s">
        <v>104</v>
      </c>
      <c r="N26" s="116"/>
      <c r="O26" s="64" t="str">
        <f>IF(E23&gt;E60, "100", "47")</f>
        <v>47</v>
      </c>
      <c r="P26" s="49" t="s">
        <v>105</v>
      </c>
    </row>
    <row r="27" spans="2:16" ht="18.75" thickBot="1" x14ac:dyDescent="0.3">
      <c r="H27" s="82" t="s">
        <v>125</v>
      </c>
      <c r="I27" s="83"/>
      <c r="J27" s="7">
        <f>0.021/E24/1000*1000000000*0.7</f>
        <v>9.8000000000000007</v>
      </c>
      <c r="K27" s="4" t="s">
        <v>92</v>
      </c>
      <c r="M27" s="106" t="s">
        <v>106</v>
      </c>
      <c r="N27" s="116"/>
      <c r="O27" s="64">
        <f>E23+10</f>
        <v>30</v>
      </c>
      <c r="P27" s="49" t="s">
        <v>3</v>
      </c>
    </row>
    <row r="28" spans="2:16" ht="18.75" x14ac:dyDescent="0.3">
      <c r="B28" s="167" t="s">
        <v>18</v>
      </c>
      <c r="C28" s="168"/>
      <c r="D28" s="168"/>
      <c r="E28" s="168"/>
      <c r="F28" s="169"/>
      <c r="H28" s="79" t="s">
        <v>101</v>
      </c>
      <c r="I28" s="80"/>
      <c r="J28" s="80"/>
      <c r="K28" s="81"/>
      <c r="M28" s="106" t="s">
        <v>115</v>
      </c>
      <c r="N28" s="116"/>
      <c r="O28" s="64" t="str">
        <f>IF(E23&gt;E60, "1N4148", "NC")</f>
        <v>NC</v>
      </c>
      <c r="P28" s="49"/>
    </row>
    <row r="29" spans="2:16" ht="18" x14ac:dyDescent="0.25">
      <c r="B29" s="119" t="s">
        <v>0</v>
      </c>
      <c r="C29" s="120"/>
      <c r="D29" s="120"/>
      <c r="E29" s="55">
        <f>E22*E23</f>
        <v>6</v>
      </c>
      <c r="F29" s="56" t="s">
        <v>5</v>
      </c>
      <c r="H29" s="106" t="s">
        <v>27</v>
      </c>
      <c r="I29" s="116"/>
      <c r="J29" s="10">
        <f>CEILING((((E52/(J22*10^-6))*E54)+E31)*1.5,0.2)</f>
        <v>1.2000000000000002</v>
      </c>
      <c r="K29" s="4" t="s">
        <v>4</v>
      </c>
      <c r="M29" s="106" t="s">
        <v>70</v>
      </c>
      <c r="N29" s="116"/>
      <c r="O29" s="64">
        <f>IF(E23&gt;E60, R62, K62)</f>
        <v>49000</v>
      </c>
      <c r="P29" s="49" t="s">
        <v>12</v>
      </c>
    </row>
    <row r="30" spans="2:16" ht="18" x14ac:dyDescent="0.25">
      <c r="B30" s="117" t="s">
        <v>20</v>
      </c>
      <c r="C30" s="118"/>
      <c r="D30" s="118"/>
      <c r="E30" s="55">
        <f>IF(E23&gt;E60, R64, K64)</f>
        <v>0.14000000000000001</v>
      </c>
      <c r="F30" s="56" t="s">
        <v>3</v>
      </c>
      <c r="H30" s="106" t="s">
        <v>28</v>
      </c>
      <c r="I30" s="116"/>
      <c r="J30" s="10">
        <v>30</v>
      </c>
      <c r="K30" s="4" t="s">
        <v>3</v>
      </c>
      <c r="M30" s="106" t="s">
        <v>68</v>
      </c>
      <c r="N30" s="116"/>
      <c r="O30" s="64">
        <f>IF(E23&gt;E60, R63, K63)</f>
        <v>1000</v>
      </c>
      <c r="P30" s="49" t="s">
        <v>12</v>
      </c>
    </row>
    <row r="31" spans="2:16" ht="18" x14ac:dyDescent="0.25">
      <c r="B31" s="119" t="s">
        <v>2</v>
      </c>
      <c r="C31" s="120"/>
      <c r="D31" s="120"/>
      <c r="E31" s="55">
        <f>(E29/(E25/100))/E21</f>
        <v>0.44117647058823528</v>
      </c>
      <c r="F31" s="56" t="s">
        <v>4</v>
      </c>
      <c r="H31" s="172" t="s">
        <v>102</v>
      </c>
      <c r="I31" s="173"/>
      <c r="J31" s="173"/>
      <c r="K31" s="174"/>
      <c r="M31" s="106" t="s">
        <v>90</v>
      </c>
      <c r="N31" s="116"/>
      <c r="O31" s="64" t="str">
        <f>IF(E23&gt;E60, R53, K53)</f>
        <v>1</v>
      </c>
      <c r="P31" s="49" t="s">
        <v>12</v>
      </c>
    </row>
    <row r="32" spans="2:16" ht="18" x14ac:dyDescent="0.25">
      <c r="B32" s="119" t="s">
        <v>48</v>
      </c>
      <c r="C32" s="120"/>
      <c r="D32" s="120"/>
      <c r="E32" s="55">
        <f>((E52/(J22*10^-6))*E54)+E31</f>
        <v>0.76700039724980906</v>
      </c>
      <c r="F32" s="56" t="s">
        <v>4</v>
      </c>
      <c r="H32" s="106" t="s">
        <v>27</v>
      </c>
      <c r="I32" s="116"/>
      <c r="J32" s="10">
        <f>CEILING(E22*1.5,0.2)</f>
        <v>0.60000000000000009</v>
      </c>
      <c r="K32" s="4" t="s">
        <v>4</v>
      </c>
      <c r="M32" s="106" t="s">
        <v>74</v>
      </c>
      <c r="N32" s="116"/>
      <c r="O32" s="64">
        <f>IF(E22&gt;E59, R51, K51)</f>
        <v>549.4305239179954</v>
      </c>
      <c r="P32" s="49" t="s">
        <v>12</v>
      </c>
    </row>
    <row r="33" spans="2:19" ht="18" x14ac:dyDescent="0.25">
      <c r="B33" s="176" t="s">
        <v>87</v>
      </c>
      <c r="C33" s="177"/>
      <c r="D33" s="177"/>
      <c r="E33" s="75">
        <f>O27</f>
        <v>30</v>
      </c>
      <c r="F33" s="76" t="s">
        <v>3</v>
      </c>
      <c r="H33" s="106" t="s">
        <v>28</v>
      </c>
      <c r="I33" s="116"/>
      <c r="J33" s="10" t="str">
        <f>IF(E23&lt;50,IF(E23&lt;34,"40","60"),"100")</f>
        <v>40</v>
      </c>
      <c r="K33" s="4" t="s">
        <v>3</v>
      </c>
      <c r="M33" s="106" t="s">
        <v>69</v>
      </c>
      <c r="N33" s="116"/>
      <c r="O33" s="64">
        <f>IF(E23&gt;E60, R61, K61)</f>
        <v>3921.5686274509803</v>
      </c>
      <c r="P33" s="49" t="s">
        <v>12</v>
      </c>
    </row>
    <row r="34" spans="2:19" ht="18.75" thickBot="1" x14ac:dyDescent="0.3">
      <c r="B34" s="178" t="s">
        <v>122</v>
      </c>
      <c r="C34" s="179"/>
      <c r="D34" s="179"/>
      <c r="E34" s="77">
        <f>IF(E23&gt;E60, R65, K65)</f>
        <v>33.156862745098039</v>
      </c>
      <c r="F34" s="78" t="s">
        <v>3</v>
      </c>
      <c r="H34" s="172" t="s">
        <v>23</v>
      </c>
      <c r="I34" s="173"/>
      <c r="J34" s="173"/>
      <c r="K34" s="174"/>
      <c r="M34" s="106" t="s">
        <v>103</v>
      </c>
      <c r="N34" s="116"/>
      <c r="O34" s="64">
        <f>1000</f>
        <v>1000</v>
      </c>
      <c r="P34" s="49" t="s">
        <v>12</v>
      </c>
    </row>
    <row r="35" spans="2:19" ht="18.75" thickBot="1" x14ac:dyDescent="0.3">
      <c r="H35" s="106" t="s">
        <v>88</v>
      </c>
      <c r="I35" s="116"/>
      <c r="J35" s="64" t="str">
        <f>IF(E29&gt;6, IF(E29&gt;10, IF(E29&gt;25, IF(E29&gt;30, "1000","680"),"470"),"330"),"220")</f>
        <v>220</v>
      </c>
      <c r="K35" s="49" t="s">
        <v>15</v>
      </c>
      <c r="M35" s="170" t="s">
        <v>98</v>
      </c>
      <c r="N35" s="171"/>
      <c r="O35" s="14" t="str">
        <f>IF(E23&gt;E60, "NC", "0")</f>
        <v>0</v>
      </c>
      <c r="P35" s="69" t="s">
        <v>12</v>
      </c>
    </row>
    <row r="36" spans="2:19" ht="15.75" thickBot="1" x14ac:dyDescent="0.3">
      <c r="B36" s="139" t="s">
        <v>52</v>
      </c>
      <c r="C36" s="139"/>
      <c r="D36" s="139"/>
      <c r="E36" s="139"/>
      <c r="F36" s="139"/>
      <c r="H36" s="170" t="s">
        <v>89</v>
      </c>
      <c r="I36" s="171"/>
      <c r="J36" s="14" t="str">
        <f>IF(E23&lt;34, "50", "100")</f>
        <v>50</v>
      </c>
      <c r="K36" s="15" t="s">
        <v>3</v>
      </c>
    </row>
    <row r="37" spans="2:19" x14ac:dyDescent="0.25">
      <c r="M37" s="175" t="s">
        <v>121</v>
      </c>
      <c r="N37" s="175"/>
    </row>
    <row r="38" spans="2:19" x14ac:dyDescent="0.25">
      <c r="B38" s="182" t="s">
        <v>124</v>
      </c>
      <c r="C38" s="182"/>
      <c r="D38" s="182"/>
      <c r="E38" s="182"/>
      <c r="F38" s="182"/>
    </row>
    <row r="39" spans="2:19" x14ac:dyDescent="0.25">
      <c r="B39" s="182"/>
      <c r="C39" s="182"/>
      <c r="D39" s="182"/>
      <c r="E39" s="182"/>
      <c r="F39" s="182"/>
    </row>
    <row r="40" spans="2:19" x14ac:dyDescent="0.25">
      <c r="B40" s="182"/>
      <c r="C40" s="182"/>
      <c r="D40" s="182"/>
      <c r="E40" s="182"/>
      <c r="F40" s="182"/>
    </row>
    <row r="41" spans="2:19" x14ac:dyDescent="0.25">
      <c r="B41" s="182"/>
      <c r="C41" s="182"/>
      <c r="D41" s="182"/>
      <c r="E41" s="182"/>
      <c r="F41" s="182"/>
    </row>
    <row r="43" spans="2:19" ht="15.75" hidden="1" thickBot="1" x14ac:dyDescent="0.3"/>
    <row r="44" spans="2:19" ht="19.5" hidden="1" thickBot="1" x14ac:dyDescent="0.35">
      <c r="B44" s="133" t="s">
        <v>45</v>
      </c>
      <c r="C44" s="134"/>
      <c r="D44" s="134"/>
      <c r="E44" s="134"/>
      <c r="F44" s="135"/>
      <c r="H44" s="133" t="s">
        <v>96</v>
      </c>
      <c r="I44" s="134"/>
      <c r="J44" s="134"/>
      <c r="K44" s="134"/>
      <c r="L44" s="135"/>
      <c r="O44" s="133" t="s">
        <v>95</v>
      </c>
      <c r="P44" s="134"/>
      <c r="Q44" s="134"/>
      <c r="R44" s="134"/>
      <c r="S44" s="135"/>
    </row>
    <row r="45" spans="2:19" hidden="1" x14ac:dyDescent="0.25">
      <c r="B45" s="136" t="s">
        <v>36</v>
      </c>
      <c r="C45" s="137"/>
      <c r="D45" s="138"/>
      <c r="E45" s="60">
        <v>0.3</v>
      </c>
      <c r="F45" s="38" t="s">
        <v>3</v>
      </c>
      <c r="H45" s="136" t="s">
        <v>61</v>
      </c>
      <c r="I45" s="137"/>
      <c r="J45" s="138"/>
      <c r="K45" s="65">
        <v>7</v>
      </c>
      <c r="L45" s="50" t="s">
        <v>3</v>
      </c>
      <c r="O45" s="136" t="s">
        <v>61</v>
      </c>
      <c r="P45" s="137"/>
      <c r="Q45" s="138"/>
      <c r="R45" s="65">
        <v>8</v>
      </c>
      <c r="S45" s="50" t="s">
        <v>3</v>
      </c>
    </row>
    <row r="46" spans="2:19" hidden="1" x14ac:dyDescent="0.25">
      <c r="B46" s="130" t="s">
        <v>37</v>
      </c>
      <c r="C46" s="131"/>
      <c r="D46" s="132"/>
      <c r="E46" s="51">
        <v>0.4</v>
      </c>
      <c r="F46" s="50" t="s">
        <v>12</v>
      </c>
      <c r="H46" s="130" t="s">
        <v>62</v>
      </c>
      <c r="I46" s="131"/>
      <c r="J46" s="132"/>
      <c r="K46" s="66">
        <v>0.32</v>
      </c>
      <c r="L46" s="50" t="s">
        <v>3</v>
      </c>
      <c r="O46" s="130" t="s">
        <v>62</v>
      </c>
      <c r="P46" s="131"/>
      <c r="Q46" s="132"/>
      <c r="R46" s="68">
        <v>0.2</v>
      </c>
      <c r="S46" s="50" t="s">
        <v>3</v>
      </c>
    </row>
    <row r="47" spans="2:19" ht="18" hidden="1" x14ac:dyDescent="0.25">
      <c r="B47" s="130" t="s">
        <v>38</v>
      </c>
      <c r="C47" s="131"/>
      <c r="D47" s="132"/>
      <c r="E47" s="51">
        <v>0.25</v>
      </c>
      <c r="F47" s="50" t="s">
        <v>12</v>
      </c>
      <c r="H47" s="130" t="s">
        <v>64</v>
      </c>
      <c r="I47" s="131"/>
      <c r="J47" s="132"/>
      <c r="K47" s="51">
        <f>+E23*0.8</f>
        <v>16</v>
      </c>
      <c r="L47" s="50" t="s">
        <v>3</v>
      </c>
      <c r="O47" s="130" t="s">
        <v>108</v>
      </c>
      <c r="P47" s="131"/>
      <c r="Q47" s="132"/>
      <c r="R47" s="66">
        <v>35</v>
      </c>
      <c r="S47" s="50" t="s">
        <v>3</v>
      </c>
    </row>
    <row r="48" spans="2:19" hidden="1" x14ac:dyDescent="0.25">
      <c r="B48" s="130" t="s">
        <v>39</v>
      </c>
      <c r="C48" s="131"/>
      <c r="D48" s="132"/>
      <c r="E48" s="51">
        <v>0.2</v>
      </c>
      <c r="F48" s="50" t="s">
        <v>12</v>
      </c>
      <c r="H48" s="130" t="s">
        <v>65</v>
      </c>
      <c r="I48" s="131"/>
      <c r="J48" s="132"/>
      <c r="K48" s="67">
        <v>6.9999999999999999E-4</v>
      </c>
      <c r="L48" s="50" t="s">
        <v>4</v>
      </c>
      <c r="O48" s="130" t="s">
        <v>114</v>
      </c>
      <c r="P48" s="131"/>
      <c r="Q48" s="132"/>
      <c r="R48" s="67">
        <v>0.38400000000000001</v>
      </c>
      <c r="S48" s="50" t="s">
        <v>4</v>
      </c>
    </row>
    <row r="49" spans="2:19" hidden="1" x14ac:dyDescent="0.25">
      <c r="B49" s="124" t="s">
        <v>42</v>
      </c>
      <c r="C49" s="125"/>
      <c r="D49" s="126"/>
      <c r="E49" s="52">
        <f>E46*E31</f>
        <v>0.17647058823529413</v>
      </c>
      <c r="F49" s="27" t="s">
        <v>3</v>
      </c>
      <c r="H49" s="124" t="s">
        <v>66</v>
      </c>
      <c r="I49" s="125"/>
      <c r="J49" s="126"/>
      <c r="K49" s="67">
        <v>4.0000000000000002E-4</v>
      </c>
      <c r="L49" s="50" t="s">
        <v>4</v>
      </c>
      <c r="O49" s="124" t="s">
        <v>66</v>
      </c>
      <c r="P49" s="125"/>
      <c r="Q49" s="126"/>
      <c r="R49" s="67">
        <v>2.0000000000000001E-4</v>
      </c>
      <c r="S49" s="50" t="s">
        <v>4</v>
      </c>
    </row>
    <row r="50" spans="2:19" ht="18" hidden="1" x14ac:dyDescent="0.25">
      <c r="B50" s="124" t="s">
        <v>41</v>
      </c>
      <c r="C50" s="125"/>
      <c r="D50" s="126"/>
      <c r="E50" s="52">
        <f>E47*E31</f>
        <v>0.11029411764705882</v>
      </c>
      <c r="F50" s="27" t="s">
        <v>3</v>
      </c>
      <c r="H50" s="124" t="s">
        <v>81</v>
      </c>
      <c r="I50" s="125"/>
      <c r="J50" s="126"/>
      <c r="K50" s="53">
        <f>+K46/K63</f>
        <v>3.2000000000000003E-4</v>
      </c>
      <c r="L50" s="50" t="s">
        <v>4</v>
      </c>
      <c r="O50" s="124" t="s">
        <v>110</v>
      </c>
      <c r="P50" s="125"/>
      <c r="Q50" s="126"/>
      <c r="R50" s="51">
        <f>+E23+10</f>
        <v>30</v>
      </c>
      <c r="S50" s="50" t="s">
        <v>3</v>
      </c>
    </row>
    <row r="51" spans="2:19" ht="18" hidden="1" x14ac:dyDescent="0.25">
      <c r="B51" s="124" t="s">
        <v>40</v>
      </c>
      <c r="C51" s="125"/>
      <c r="D51" s="126"/>
      <c r="E51" s="52">
        <f>E31*E48</f>
        <v>8.8235294117647065E-2</v>
      </c>
      <c r="F51" s="27" t="s">
        <v>3</v>
      </c>
      <c r="H51" s="124" t="s">
        <v>120</v>
      </c>
      <c r="I51" s="125"/>
      <c r="J51" s="126"/>
      <c r="K51" s="52">
        <f>+E22*K53*K52/(2.495-E22*K53)</f>
        <v>549.4305239179954</v>
      </c>
      <c r="L51" s="50" t="s">
        <v>12</v>
      </c>
      <c r="O51" s="124" t="s">
        <v>120</v>
      </c>
      <c r="P51" s="125"/>
      <c r="Q51" s="126"/>
      <c r="R51" s="52">
        <f>+E22*K53*K52/(2.495-E22*K53)</f>
        <v>549.4305239179954</v>
      </c>
      <c r="S51" s="50" t="s">
        <v>12</v>
      </c>
    </row>
    <row r="52" spans="2:19" ht="18" hidden="1" x14ac:dyDescent="0.25">
      <c r="B52" s="124" t="s">
        <v>43</v>
      </c>
      <c r="C52" s="125"/>
      <c r="D52" s="126"/>
      <c r="E52" s="52">
        <f>E21-E45-E51-E49-E30-E50</f>
        <v>15.185</v>
      </c>
      <c r="F52" s="27" t="s">
        <v>3</v>
      </c>
      <c r="H52" s="124" t="s">
        <v>75</v>
      </c>
      <c r="I52" s="125"/>
      <c r="J52" s="126"/>
      <c r="K52" s="68">
        <v>4020</v>
      </c>
      <c r="L52" s="50" t="s">
        <v>12</v>
      </c>
      <c r="O52" s="124" t="s">
        <v>75</v>
      </c>
      <c r="P52" s="125"/>
      <c r="Q52" s="126"/>
      <c r="R52" s="68">
        <v>4020</v>
      </c>
      <c r="S52" s="50" t="s">
        <v>12</v>
      </c>
    </row>
    <row r="53" spans="2:19" ht="18" hidden="1" x14ac:dyDescent="0.25">
      <c r="B53" s="124" t="s">
        <v>44</v>
      </c>
      <c r="C53" s="125"/>
      <c r="D53" s="126"/>
      <c r="E53" s="52">
        <f>E23+E45+E45+E51+E30+E49-E21</f>
        <v>5.004705882352944</v>
      </c>
      <c r="F53" s="27" t="s">
        <v>3</v>
      </c>
      <c r="H53" s="124" t="s">
        <v>76</v>
      </c>
      <c r="I53" s="125"/>
      <c r="J53" s="126"/>
      <c r="K53" s="52" t="str">
        <f>IF(E22&lt;0.2, IF(E22&lt;0.125, IF(E22&lt;0.08, IF(E22&lt;0.4, "10", "4.99"), "3.01"), "2"), "1")</f>
        <v>1</v>
      </c>
      <c r="L53" s="50" t="s">
        <v>12</v>
      </c>
      <c r="O53" s="124" t="s">
        <v>76</v>
      </c>
      <c r="P53" s="125"/>
      <c r="Q53" s="126"/>
      <c r="R53" s="52" t="str">
        <f>IF(E22&lt;0.2, IF(E22&lt;0.125, IF(E22&lt;0.08, IF(E22&lt;0.4, "10", "4.99"), "3.01"), "2"), "1")</f>
        <v>1</v>
      </c>
      <c r="S53" s="50" t="s">
        <v>12</v>
      </c>
    </row>
    <row r="54" spans="2:19" hidden="1" x14ac:dyDescent="0.25">
      <c r="B54" s="124" t="s">
        <v>46</v>
      </c>
      <c r="C54" s="125"/>
      <c r="D54" s="126"/>
      <c r="E54" s="53">
        <f>((((0.0149/O22)*J22*10^-6)/E52)+(84*10^-9))*2</f>
        <v>2.3602655207621408E-7</v>
      </c>
      <c r="F54" s="27" t="s">
        <v>35</v>
      </c>
      <c r="H54" s="124" t="s">
        <v>71</v>
      </c>
      <c r="I54" s="125"/>
      <c r="J54" s="126"/>
      <c r="K54" s="53">
        <f>+E30/K63</f>
        <v>1.4000000000000001E-4</v>
      </c>
      <c r="L54" s="50" t="s">
        <v>4</v>
      </c>
      <c r="O54" s="124" t="s">
        <v>71</v>
      </c>
      <c r="P54" s="125"/>
      <c r="Q54" s="126"/>
      <c r="R54" s="53">
        <f>+E30/R63</f>
        <v>1.4000000000000001E-4</v>
      </c>
      <c r="S54" s="50" t="s">
        <v>4</v>
      </c>
    </row>
    <row r="55" spans="2:19" hidden="1" x14ac:dyDescent="0.25">
      <c r="B55" s="124" t="s">
        <v>47</v>
      </c>
      <c r="C55" s="125"/>
      <c r="D55" s="126"/>
      <c r="E55" s="53">
        <f>((((0.0149/O22)*J22*10^-6)/E53)+(68*10^-9))*2</f>
        <v>3.4240237759419694E-7</v>
      </c>
      <c r="F55" s="27" t="s">
        <v>35</v>
      </c>
      <c r="H55" s="124" t="s">
        <v>72</v>
      </c>
      <c r="I55" s="125"/>
      <c r="J55" s="126"/>
      <c r="K55" s="53">
        <f>+K54*(K63+K62)</f>
        <v>7.0000000000000009</v>
      </c>
      <c r="L55" s="50" t="s">
        <v>3</v>
      </c>
      <c r="O55" s="124" t="s">
        <v>72</v>
      </c>
      <c r="P55" s="125"/>
      <c r="Q55" s="126"/>
      <c r="R55" s="53"/>
      <c r="S55" s="50" t="s">
        <v>3</v>
      </c>
    </row>
    <row r="56" spans="2:19" ht="15.75" hidden="1" thickBot="1" x14ac:dyDescent="0.3">
      <c r="B56" s="127" t="s">
        <v>34</v>
      </c>
      <c r="C56" s="128"/>
      <c r="D56" s="129"/>
      <c r="E56" s="54">
        <f>1/(E24*1000)</f>
        <v>6.6666666666666671E-7</v>
      </c>
      <c r="F56" s="29" t="s">
        <v>35</v>
      </c>
      <c r="H56" s="124" t="s">
        <v>73</v>
      </c>
      <c r="I56" s="125"/>
      <c r="J56" s="126"/>
      <c r="K56" s="53">
        <f>+(E23-K55)/K61-K54</f>
        <v>3.1750000000000003E-3</v>
      </c>
      <c r="L56" s="50" t="s">
        <v>4</v>
      </c>
      <c r="O56" s="124" t="s">
        <v>73</v>
      </c>
      <c r="P56" s="125"/>
      <c r="Q56" s="126"/>
      <c r="R56" s="53"/>
      <c r="S56" s="50" t="s">
        <v>4</v>
      </c>
    </row>
    <row r="57" spans="2:19" ht="15.75" hidden="1" thickBot="1" x14ac:dyDescent="0.3">
      <c r="H57" s="127" t="s">
        <v>60</v>
      </c>
      <c r="I57" s="128"/>
      <c r="J57" s="129"/>
      <c r="K57" s="54">
        <f>0.384/K63</f>
        <v>3.8400000000000001E-4</v>
      </c>
      <c r="L57" s="50" t="s">
        <v>4</v>
      </c>
      <c r="O57" s="127" t="s">
        <v>60</v>
      </c>
      <c r="P57" s="128"/>
      <c r="Q57" s="129"/>
      <c r="R57" s="54"/>
      <c r="S57" s="50" t="s">
        <v>4</v>
      </c>
    </row>
    <row r="58" spans="2:19" ht="15.75" hidden="1" thickBot="1" x14ac:dyDescent="0.3">
      <c r="H58" s="73" t="s">
        <v>82</v>
      </c>
      <c r="I58" s="74"/>
      <c r="J58" s="74"/>
      <c r="K58" s="59">
        <f>+K57*(K62+K63+K61)+O33*K49</f>
        <v>22.274509803921571</v>
      </c>
      <c r="L58" s="56" t="s">
        <v>3</v>
      </c>
    </row>
    <row r="59" spans="2:19" ht="15.75" hidden="1" thickBot="1" x14ac:dyDescent="0.3">
      <c r="B59" s="164" t="s">
        <v>119</v>
      </c>
      <c r="C59" s="165"/>
      <c r="D59" s="165"/>
      <c r="E59" s="165"/>
      <c r="F59" s="166"/>
    </row>
    <row r="60" spans="2:19" hidden="1" x14ac:dyDescent="0.25">
      <c r="B60" s="160" t="s">
        <v>117</v>
      </c>
      <c r="C60" s="161"/>
      <c r="D60" s="161"/>
      <c r="E60" s="10">
        <v>33</v>
      </c>
      <c r="F60" s="27" t="s">
        <v>3</v>
      </c>
      <c r="H60" s="152" t="s">
        <v>97</v>
      </c>
      <c r="I60" s="153"/>
      <c r="J60" s="153"/>
      <c r="K60" s="153"/>
      <c r="L60" s="154"/>
      <c r="O60" s="152" t="s">
        <v>97</v>
      </c>
      <c r="P60" s="153"/>
      <c r="Q60" s="153"/>
      <c r="R60" s="153"/>
      <c r="S60" s="154"/>
    </row>
    <row r="61" spans="2:19" ht="18.75" hidden="1" thickBot="1" x14ac:dyDescent="0.4">
      <c r="B61" s="162" t="s">
        <v>118</v>
      </c>
      <c r="C61" s="163"/>
      <c r="D61" s="163"/>
      <c r="E61" s="14">
        <v>27</v>
      </c>
      <c r="F61" s="29" t="s">
        <v>3</v>
      </c>
      <c r="H61" s="158" t="s">
        <v>111</v>
      </c>
      <c r="I61" s="159"/>
      <c r="J61" s="107"/>
      <c r="K61" s="13">
        <f>+(E23-K47)/(K50+K48)</f>
        <v>3921.5686274509803</v>
      </c>
      <c r="L61" s="50" t="s">
        <v>12</v>
      </c>
      <c r="O61" s="158" t="s">
        <v>111</v>
      </c>
      <c r="P61" s="159"/>
      <c r="Q61" s="107"/>
      <c r="R61" s="13">
        <f>(R50-R47)/(R49+R48/R63)</f>
        <v>-8561.6438356164381</v>
      </c>
      <c r="S61" s="50" t="s">
        <v>12</v>
      </c>
    </row>
    <row r="62" spans="2:19" ht="18" hidden="1" x14ac:dyDescent="0.35">
      <c r="H62" s="158" t="s">
        <v>112</v>
      </c>
      <c r="I62" s="159"/>
      <c r="J62" s="107"/>
      <c r="K62" s="13">
        <f>+K63*(K47/K46-1)</f>
        <v>49000</v>
      </c>
      <c r="L62" s="50" t="s">
        <v>12</v>
      </c>
      <c r="O62" s="158" t="s">
        <v>112</v>
      </c>
      <c r="P62" s="159"/>
      <c r="Q62" s="107"/>
      <c r="R62" s="13">
        <f>(R47/R48-1)*R63</f>
        <v>90145.833333333328</v>
      </c>
      <c r="S62" s="50" t="s">
        <v>12</v>
      </c>
    </row>
    <row r="63" spans="2:19" ht="18" hidden="1" x14ac:dyDescent="0.35">
      <c r="H63" s="158" t="s">
        <v>113</v>
      </c>
      <c r="I63" s="159"/>
      <c r="J63" s="107"/>
      <c r="K63" s="61">
        <v>1000</v>
      </c>
      <c r="L63" s="50" t="s">
        <v>12</v>
      </c>
      <c r="O63" s="158" t="s">
        <v>113</v>
      </c>
      <c r="P63" s="159"/>
      <c r="Q63" s="107"/>
      <c r="R63" s="61">
        <v>1000</v>
      </c>
      <c r="S63" s="50" t="s">
        <v>12</v>
      </c>
    </row>
    <row r="64" spans="2:19" ht="18" hidden="1" x14ac:dyDescent="0.35">
      <c r="H64" s="158" t="s">
        <v>109</v>
      </c>
      <c r="I64" s="159"/>
      <c r="J64" s="107"/>
      <c r="K64" s="13">
        <f>+K46*K45/E21</f>
        <v>0.14000000000000001</v>
      </c>
      <c r="L64" s="50" t="s">
        <v>3</v>
      </c>
      <c r="O64" s="158" t="s">
        <v>109</v>
      </c>
      <c r="P64" s="159"/>
      <c r="Q64" s="107"/>
      <c r="R64" s="13">
        <f>+R46*R45/E21</f>
        <v>0.1</v>
      </c>
      <c r="S64" s="50" t="s">
        <v>3</v>
      </c>
    </row>
    <row r="65" spans="8:19" ht="15.75" hidden="1" thickBot="1" x14ac:dyDescent="0.3">
      <c r="H65" s="155" t="s">
        <v>87</v>
      </c>
      <c r="I65" s="156"/>
      <c r="J65" s="157"/>
      <c r="K65" s="71">
        <f>+K57*(K62+K63+K61)+K61*K56</f>
        <v>33.156862745098039</v>
      </c>
      <c r="L65" s="70" t="s">
        <v>3</v>
      </c>
      <c r="O65" s="155" t="s">
        <v>87</v>
      </c>
      <c r="P65" s="156"/>
      <c r="Q65" s="157"/>
      <c r="R65" s="72">
        <f>O27</f>
        <v>30</v>
      </c>
      <c r="S65" s="70" t="s">
        <v>3</v>
      </c>
    </row>
    <row r="66" spans="8:19" hidden="1" x14ac:dyDescent="0.25"/>
    <row r="67" spans="8:19" hidden="1" x14ac:dyDescent="0.25">
      <c r="H67" s="47" t="s">
        <v>63</v>
      </c>
    </row>
    <row r="68" spans="8:19" hidden="1" x14ac:dyDescent="0.25">
      <c r="H68" s="47" t="s">
        <v>67</v>
      </c>
    </row>
    <row r="69" spans="8:19" hidden="1" x14ac:dyDescent="0.25">
      <c r="H69" s="47" t="s">
        <v>77</v>
      </c>
    </row>
    <row r="70" spans="8:19" hidden="1" x14ac:dyDescent="0.25">
      <c r="H70" s="47" t="s">
        <v>78</v>
      </c>
    </row>
    <row r="71" spans="8:19" hidden="1" x14ac:dyDescent="0.25">
      <c r="H71" s="47" t="s">
        <v>79</v>
      </c>
    </row>
    <row r="72" spans="8:19" hidden="1" x14ac:dyDescent="0.25"/>
  </sheetData>
  <sheetProtection password="C407" sheet="1" objects="1" scenarios="1" selectLockedCells="1"/>
  <mergeCells count="105">
    <mergeCell ref="B20:F20"/>
    <mergeCell ref="H20:K20"/>
    <mergeCell ref="B21:D21"/>
    <mergeCell ref="H21:K21"/>
    <mergeCell ref="B22:D22"/>
    <mergeCell ref="H22:I22"/>
    <mergeCell ref="B23:D23"/>
    <mergeCell ref="H23:I23"/>
    <mergeCell ref="B24:D24"/>
    <mergeCell ref="H24:K24"/>
    <mergeCell ref="B36:F36"/>
    <mergeCell ref="B47:D47"/>
    <mergeCell ref="H47:J47"/>
    <mergeCell ref="B33:D33"/>
    <mergeCell ref="B34:D34"/>
    <mergeCell ref="M22:N22"/>
    <mergeCell ref="M23:N23"/>
    <mergeCell ref="M24:N24"/>
    <mergeCell ref="M25:P25"/>
    <mergeCell ref="B30:D30"/>
    <mergeCell ref="B31:D31"/>
    <mergeCell ref="B32:D32"/>
    <mergeCell ref="H29:I29"/>
    <mergeCell ref="B25:D25"/>
    <mergeCell ref="H26:I26"/>
    <mergeCell ref="H28:K28"/>
    <mergeCell ref="H25:I25"/>
    <mergeCell ref="B38:F41"/>
    <mergeCell ref="H33:I33"/>
    <mergeCell ref="M28:N28"/>
    <mergeCell ref="M32:N32"/>
    <mergeCell ref="M33:N33"/>
    <mergeCell ref="B48:D48"/>
    <mergeCell ref="H48:J48"/>
    <mergeCell ref="B44:F44"/>
    <mergeCell ref="H44:L44"/>
    <mergeCell ref="B45:D45"/>
    <mergeCell ref="H45:J45"/>
    <mergeCell ref="B46:D46"/>
    <mergeCell ref="H46:J46"/>
    <mergeCell ref="B56:D56"/>
    <mergeCell ref="B55:D55"/>
    <mergeCell ref="M20:P20"/>
    <mergeCell ref="M27:N27"/>
    <mergeCell ref="M26:N26"/>
    <mergeCell ref="O44:S44"/>
    <mergeCell ref="O45:Q45"/>
    <mergeCell ref="O46:Q46"/>
    <mergeCell ref="O47:Q47"/>
    <mergeCell ref="O48:Q48"/>
    <mergeCell ref="H36:I36"/>
    <mergeCell ref="M30:N30"/>
    <mergeCell ref="H27:I27"/>
    <mergeCell ref="H30:I30"/>
    <mergeCell ref="H31:K31"/>
    <mergeCell ref="H32:I32"/>
    <mergeCell ref="H35:I35"/>
    <mergeCell ref="M21:P21"/>
    <mergeCell ref="M37:N37"/>
    <mergeCell ref="M34:N34"/>
    <mergeCell ref="M31:N31"/>
    <mergeCell ref="M29:N29"/>
    <mergeCell ref="H34:K34"/>
    <mergeCell ref="M35:N35"/>
    <mergeCell ref="B60:D60"/>
    <mergeCell ref="B61:D61"/>
    <mergeCell ref="B59:F59"/>
    <mergeCell ref="B28:F28"/>
    <mergeCell ref="B29:D29"/>
    <mergeCell ref="O52:Q52"/>
    <mergeCell ref="O50:Q50"/>
    <mergeCell ref="O49:Q49"/>
    <mergeCell ref="H52:J52"/>
    <mergeCell ref="H50:J50"/>
    <mergeCell ref="H49:J49"/>
    <mergeCell ref="O56:Q56"/>
    <mergeCell ref="O55:Q55"/>
    <mergeCell ref="O54:Q54"/>
    <mergeCell ref="O53:Q53"/>
    <mergeCell ref="O61:Q61"/>
    <mergeCell ref="H61:J61"/>
    <mergeCell ref="H55:J55"/>
    <mergeCell ref="B49:D49"/>
    <mergeCell ref="B50:D50"/>
    <mergeCell ref="B51:D51"/>
    <mergeCell ref="B52:D52"/>
    <mergeCell ref="B53:D53"/>
    <mergeCell ref="B54:D54"/>
    <mergeCell ref="H60:L60"/>
    <mergeCell ref="O60:S60"/>
    <mergeCell ref="H65:J65"/>
    <mergeCell ref="O65:Q65"/>
    <mergeCell ref="H57:J57"/>
    <mergeCell ref="H54:J54"/>
    <mergeCell ref="H53:J53"/>
    <mergeCell ref="H51:J51"/>
    <mergeCell ref="O51:Q51"/>
    <mergeCell ref="O57:Q57"/>
    <mergeCell ref="H62:J62"/>
    <mergeCell ref="H63:J63"/>
    <mergeCell ref="O62:Q62"/>
    <mergeCell ref="O63:Q63"/>
    <mergeCell ref="H64:J64"/>
    <mergeCell ref="O64:Q64"/>
    <mergeCell ref="H56:J56"/>
  </mergeCells>
  <conditionalFormatting sqref="R63 K63 E25 E21:E23">
    <cfRule type="cellIs" dxfId="17" priority="14" operator="lessThan">
      <formula>0.02</formula>
    </cfRule>
  </conditionalFormatting>
  <conditionalFormatting sqref="E23">
    <cfRule type="cellIs" dxfId="16" priority="13" operator="lessThanOrEqual">
      <formula>$E$21+2.1</formula>
    </cfRule>
  </conditionalFormatting>
  <conditionalFormatting sqref="E21">
    <cfRule type="cellIs" priority="11" operator="greaterThanOrEqual">
      <formula>42</formula>
    </cfRule>
  </conditionalFormatting>
  <conditionalFormatting sqref="E31">
    <cfRule type="cellIs" dxfId="15" priority="10" operator="greaterThan">
      <formula>1.1</formula>
    </cfRule>
  </conditionalFormatting>
  <conditionalFormatting sqref="E30">
    <cfRule type="cellIs" dxfId="14" priority="9" operator="greaterThan">
      <formula>0.32</formula>
    </cfRule>
  </conditionalFormatting>
  <conditionalFormatting sqref="B36:F36">
    <cfRule type="expression" dxfId="13" priority="21">
      <formula>$E$30&gt;0.32</formula>
    </cfRule>
  </conditionalFormatting>
  <conditionalFormatting sqref="B38:F40">
    <cfRule type="expression" dxfId="12" priority="22">
      <formula>$E$31&gt;1.1</formula>
    </cfRule>
  </conditionalFormatting>
  <conditionalFormatting sqref="M27:N27">
    <cfRule type="expression" dxfId="11" priority="4">
      <formula>$E$23&lt;=$E$61</formula>
    </cfRule>
  </conditionalFormatting>
  <conditionalFormatting sqref="M34:N34">
    <cfRule type="expression" dxfId="10" priority="3">
      <formula>$E$23&lt;=$E$61</formula>
    </cfRule>
  </conditionalFormatting>
  <conditionalFormatting sqref="M37:N37">
    <cfRule type="expression" dxfId="9" priority="2">
      <formula>$E$23&lt;=$E$61</formula>
    </cfRule>
  </conditionalFormatting>
  <conditionalFormatting sqref="B34:F34">
    <cfRule type="expression" dxfId="8" priority="1">
      <formula>$E$23&lt;=$E$61</formula>
    </cfRule>
  </conditionalFormatting>
  <pageMargins left="0.7" right="0.7" top="0.75" bottom="0.75" header="0.3" footer="0.3"/>
  <pageSetup orientation="portrait" horizontalDpi="300" verticalDpi="300" r:id="rId1"/>
  <drawing r:id="rId2"/>
  <legacyDrawing r:id="rId3"/>
  <oleObjects>
    <mc:AlternateContent xmlns:mc="http://schemas.openxmlformats.org/markup-compatibility/2006">
      <mc:Choice Requires="x14">
        <oleObject progId="Visio.Drawing.11" shapeId="6152" r:id="rId4">
          <objectPr defaultSize="0" autoPict="0" r:id="rId5">
            <anchor moveWithCells="1">
              <from>
                <xdr:col>1</xdr:col>
                <xdr:colOff>0</xdr:colOff>
                <xdr:row>2</xdr:row>
                <xdr:rowOff>0</xdr:rowOff>
              </from>
              <to>
                <xdr:col>13</xdr:col>
                <xdr:colOff>57150</xdr:colOff>
                <xdr:row>18</xdr:row>
                <xdr:rowOff>9525</xdr:rowOff>
              </to>
            </anchor>
          </objectPr>
        </oleObject>
      </mc:Choice>
      <mc:Fallback>
        <oleObject progId="Visio.Drawing.11" shapeId="615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1"/>
  <sheetViews>
    <sheetView topLeftCell="A3" zoomScale="90" zoomScaleNormal="90" workbookViewId="0">
      <selection activeCell="E21" sqref="E21"/>
    </sheetView>
  </sheetViews>
  <sheetFormatPr defaultRowHeight="15" x14ac:dyDescent="0.25"/>
  <cols>
    <col min="1" max="4" width="9.140625" style="1"/>
    <col min="5" max="5" width="12.28515625" style="1" customWidth="1"/>
    <col min="6" max="7" width="9.140625" style="1"/>
    <col min="8" max="8" width="12" style="1" bestFit="1" customWidth="1"/>
    <col min="9" max="9" width="7.140625" style="1" customWidth="1"/>
    <col min="10" max="10" width="16.85546875" style="1" customWidth="1"/>
    <col min="11" max="11" width="11.7109375" style="1" customWidth="1"/>
    <col min="12" max="15" width="9.140625" style="1"/>
    <col min="16" max="16" width="14.140625" style="1" customWidth="1"/>
    <col min="17" max="16384" width="9.140625" style="1"/>
  </cols>
  <sheetData>
    <row r="1" spans="2:17" x14ac:dyDescent="0.25">
      <c r="B1" s="47" t="s">
        <v>58</v>
      </c>
      <c r="E1" s="47" t="s">
        <v>93</v>
      </c>
      <c r="G1" s="39"/>
      <c r="H1" s="47"/>
      <c r="I1" s="39" t="s">
        <v>56</v>
      </c>
      <c r="J1" s="40">
        <v>41400</v>
      </c>
      <c r="K1" s="47" t="s">
        <v>128</v>
      </c>
    </row>
    <row r="3" spans="2:17" x14ac:dyDescent="0.25">
      <c r="M3" s="18"/>
      <c r="N3" s="18"/>
      <c r="O3" s="18"/>
    </row>
    <row r="4" spans="2:17" x14ac:dyDescent="0.25">
      <c r="M4" s="18"/>
      <c r="N4" s="18"/>
      <c r="O4" s="18"/>
      <c r="P4" s="9"/>
    </row>
    <row r="5" spans="2:17" x14ac:dyDescent="0.25">
      <c r="M5" s="18"/>
      <c r="N5" s="18"/>
      <c r="O5" s="18"/>
      <c r="P5" s="9"/>
    </row>
    <row r="6" spans="2:17" x14ac:dyDescent="0.25">
      <c r="M6" s="18"/>
      <c r="N6" s="18"/>
      <c r="O6" s="18"/>
      <c r="P6" s="9"/>
    </row>
    <row r="7" spans="2:17" x14ac:dyDescent="0.25">
      <c r="M7" s="18"/>
      <c r="N7" s="18"/>
      <c r="O7" s="18"/>
      <c r="P7" s="9"/>
    </row>
    <row r="8" spans="2:17" x14ac:dyDescent="0.25">
      <c r="M8" s="18"/>
      <c r="N8" s="18"/>
      <c r="O8" s="18"/>
      <c r="P8" s="21"/>
    </row>
    <row r="9" spans="2:17" x14ac:dyDescent="0.25">
      <c r="M9" s="18"/>
      <c r="N9" s="18"/>
      <c r="O9" s="18"/>
      <c r="P9" s="9"/>
    </row>
    <row r="10" spans="2:17" x14ac:dyDescent="0.25">
      <c r="M10" s="18"/>
      <c r="N10" s="18"/>
      <c r="O10" s="18"/>
      <c r="P10" s="19"/>
      <c r="Q10" s="20"/>
    </row>
    <row r="11" spans="2:17" x14ac:dyDescent="0.25">
      <c r="M11" s="18"/>
      <c r="N11" s="18"/>
      <c r="O11" s="18"/>
      <c r="P11" s="9"/>
    </row>
    <row r="12" spans="2:17" x14ac:dyDescent="0.25">
      <c r="M12" s="18"/>
      <c r="N12" s="18"/>
      <c r="O12" s="18"/>
      <c r="P12" s="9"/>
    </row>
    <row r="13" spans="2:17" x14ac:dyDescent="0.25">
      <c r="M13" s="18"/>
      <c r="N13" s="18"/>
      <c r="O13" s="18"/>
      <c r="P13" s="9"/>
    </row>
    <row r="14" spans="2:17" x14ac:dyDescent="0.25">
      <c r="M14" s="18"/>
      <c r="N14" s="18"/>
      <c r="O14" s="18"/>
      <c r="P14" s="9"/>
    </row>
    <row r="15" spans="2:17" x14ac:dyDescent="0.25">
      <c r="M15" s="18"/>
      <c r="N15" s="18"/>
      <c r="O15" s="18"/>
      <c r="P15" s="9"/>
    </row>
    <row r="16" spans="2:17" x14ac:dyDescent="0.25">
      <c r="M16" s="18"/>
      <c r="N16" s="18"/>
      <c r="O16" s="18"/>
    </row>
    <row r="17" spans="2:16" x14ac:dyDescent="0.25">
      <c r="M17" s="18"/>
      <c r="N17" s="18"/>
      <c r="O17" s="18"/>
      <c r="P17" s="9"/>
    </row>
    <row r="18" spans="2:16" x14ac:dyDescent="0.25">
      <c r="M18" s="18"/>
      <c r="N18" s="18"/>
      <c r="O18" s="18"/>
      <c r="P18" s="9"/>
    </row>
    <row r="19" spans="2:16" ht="15.75" thickBot="1" x14ac:dyDescent="0.3">
      <c r="M19" s="18"/>
      <c r="N19" s="18"/>
      <c r="O19" s="18"/>
      <c r="P19" s="9"/>
    </row>
    <row r="20" spans="2:16" ht="19.5" thickBot="1" x14ac:dyDescent="0.35">
      <c r="B20" s="84" t="s">
        <v>17</v>
      </c>
      <c r="C20" s="85"/>
      <c r="D20" s="85"/>
      <c r="E20" s="85"/>
      <c r="F20" s="86"/>
      <c r="H20" s="87" t="s">
        <v>21</v>
      </c>
      <c r="I20" s="88"/>
      <c r="J20" s="88"/>
      <c r="K20" s="89"/>
      <c r="M20" s="18"/>
      <c r="N20" s="18"/>
      <c r="O20" s="18"/>
      <c r="P20" s="9"/>
    </row>
    <row r="21" spans="2:16" x14ac:dyDescent="0.25">
      <c r="B21" s="90" t="s">
        <v>1</v>
      </c>
      <c r="C21" s="91"/>
      <c r="D21" s="91"/>
      <c r="E21" s="41">
        <v>12</v>
      </c>
      <c r="F21" s="36" t="s">
        <v>3</v>
      </c>
      <c r="H21" s="92" t="s">
        <v>83</v>
      </c>
      <c r="I21" s="93"/>
      <c r="J21" s="93"/>
      <c r="K21" s="94"/>
      <c r="M21" s="18"/>
      <c r="N21" s="18"/>
      <c r="O21" s="18"/>
      <c r="P21" s="9"/>
    </row>
    <row r="22" spans="2:16" x14ac:dyDescent="0.25">
      <c r="B22" s="95" t="s">
        <v>33</v>
      </c>
      <c r="C22" s="96"/>
      <c r="D22" s="96"/>
      <c r="E22" s="42">
        <v>0.35</v>
      </c>
      <c r="F22" s="2" t="s">
        <v>4</v>
      </c>
      <c r="H22" s="97" t="s">
        <v>9</v>
      </c>
      <c r="I22" s="98"/>
      <c r="J22" s="19">
        <f>CEILING(((J34*(E59/2-152*10^-9))/(0.0149/E55+0.0149/E56))*0.75*10^6,1)</f>
        <v>20</v>
      </c>
      <c r="K22" s="4" t="s">
        <v>13</v>
      </c>
      <c r="M22" s="18"/>
      <c r="N22" s="18"/>
      <c r="O22" s="18"/>
      <c r="P22" s="9"/>
    </row>
    <row r="23" spans="2:16" ht="18" x14ac:dyDescent="0.25">
      <c r="B23" s="104" t="s">
        <v>50</v>
      </c>
      <c r="C23" s="105"/>
      <c r="D23" s="105"/>
      <c r="E23" s="42">
        <v>15</v>
      </c>
      <c r="F23" s="2" t="s">
        <v>3</v>
      </c>
      <c r="H23" s="106" t="s">
        <v>24</v>
      </c>
      <c r="I23" s="107"/>
      <c r="J23" s="3">
        <f>CEILING((((E55/(J22*10^-6))*E57)+E32)*1.2,0.1)</f>
        <v>1</v>
      </c>
      <c r="K23" s="4" t="s">
        <v>4</v>
      </c>
      <c r="M23" s="18"/>
      <c r="N23" s="18"/>
      <c r="O23" s="18"/>
      <c r="P23" s="9"/>
    </row>
    <row r="24" spans="2:16" x14ac:dyDescent="0.25">
      <c r="B24" s="95" t="s">
        <v>6</v>
      </c>
      <c r="C24" s="96"/>
      <c r="D24" s="96"/>
      <c r="E24" s="43">
        <v>1500</v>
      </c>
      <c r="F24" s="2" t="s">
        <v>7</v>
      </c>
      <c r="H24" s="108" t="s">
        <v>11</v>
      </c>
      <c r="I24" s="109"/>
      <c r="J24" s="109"/>
      <c r="K24" s="110"/>
      <c r="M24" s="18"/>
      <c r="N24" s="18"/>
      <c r="O24" s="18"/>
      <c r="P24" s="22"/>
    </row>
    <row r="25" spans="2:16" ht="18" x14ac:dyDescent="0.25">
      <c r="B25" s="183" t="s">
        <v>68</v>
      </c>
      <c r="C25" s="184"/>
      <c r="D25" s="185"/>
      <c r="E25" s="61">
        <v>1000</v>
      </c>
      <c r="F25" s="48" t="s">
        <v>12</v>
      </c>
      <c r="H25" s="82" t="s">
        <v>25</v>
      </c>
      <c r="I25" s="83"/>
      <c r="J25" s="5">
        <f>CEILING((((E55/(J22*10^-6))*E57)+E32)*1.5,0.2)</f>
        <v>1.2000000000000002</v>
      </c>
      <c r="K25" s="4" t="s">
        <v>4</v>
      </c>
      <c r="M25" s="18"/>
      <c r="N25" s="18"/>
      <c r="O25" s="18"/>
      <c r="P25" s="22"/>
    </row>
    <row r="26" spans="2:16" ht="18.75" thickBot="1" x14ac:dyDescent="0.3">
      <c r="B26" s="111" t="s">
        <v>59</v>
      </c>
      <c r="C26" s="112"/>
      <c r="D26" s="112"/>
      <c r="E26" s="45">
        <v>75</v>
      </c>
      <c r="F26" s="8" t="s">
        <v>8</v>
      </c>
      <c r="H26" s="82" t="s">
        <v>26</v>
      </c>
      <c r="I26" s="83"/>
      <c r="J26" s="7">
        <f>CEILING(E23*1.2,5)</f>
        <v>20</v>
      </c>
      <c r="K26" s="4" t="s">
        <v>3</v>
      </c>
      <c r="M26" s="18"/>
      <c r="N26" s="18"/>
      <c r="O26" s="18"/>
      <c r="P26" s="22"/>
    </row>
    <row r="27" spans="2:16" x14ac:dyDescent="0.25">
      <c r="H27" s="79" t="s">
        <v>53</v>
      </c>
      <c r="I27" s="80"/>
      <c r="J27" s="80"/>
      <c r="K27" s="81"/>
      <c r="M27" s="18"/>
      <c r="N27" s="18"/>
      <c r="O27" s="18"/>
    </row>
    <row r="28" spans="2:16" ht="18.75" thickBot="1" x14ac:dyDescent="0.3">
      <c r="B28" s="113"/>
      <c r="C28" s="113"/>
      <c r="D28" s="113"/>
      <c r="E28" s="9"/>
      <c r="H28" s="82" t="s">
        <v>27</v>
      </c>
      <c r="I28" s="83"/>
      <c r="J28" s="10">
        <f>CEILING((((E55/(J22*10^-6))*E57)+E32)*1.5,0.2)</f>
        <v>1.2000000000000002</v>
      </c>
      <c r="K28" s="4" t="s">
        <v>4</v>
      </c>
      <c r="M28" s="18"/>
      <c r="N28" s="18"/>
      <c r="O28" s="18"/>
    </row>
    <row r="29" spans="2:16" ht="19.5" thickBot="1" x14ac:dyDescent="0.35">
      <c r="B29" s="99" t="s">
        <v>18</v>
      </c>
      <c r="C29" s="100"/>
      <c r="D29" s="100"/>
      <c r="E29" s="100"/>
      <c r="F29" s="101"/>
      <c r="H29" s="82" t="s">
        <v>28</v>
      </c>
      <c r="I29" s="83"/>
      <c r="J29" s="10">
        <v>30</v>
      </c>
      <c r="K29" s="4" t="s">
        <v>3</v>
      </c>
      <c r="M29" s="18"/>
      <c r="N29" s="18"/>
      <c r="O29" s="18"/>
    </row>
    <row r="30" spans="2:16" x14ac:dyDescent="0.25">
      <c r="B30" s="102" t="s">
        <v>0</v>
      </c>
      <c r="C30" s="103"/>
      <c r="D30" s="103"/>
      <c r="E30" s="34">
        <f>E22*E23</f>
        <v>5.25</v>
      </c>
      <c r="F30" s="35" t="s">
        <v>5</v>
      </c>
      <c r="H30" s="79" t="s">
        <v>57</v>
      </c>
      <c r="I30" s="80"/>
      <c r="J30" s="80"/>
      <c r="K30" s="81"/>
      <c r="M30" s="18"/>
      <c r="N30" s="18"/>
      <c r="O30" s="18"/>
    </row>
    <row r="31" spans="2:16" ht="18" x14ac:dyDescent="0.25">
      <c r="B31" s="117" t="s">
        <v>20</v>
      </c>
      <c r="C31" s="118"/>
      <c r="D31" s="118"/>
      <c r="E31" s="55">
        <f>+K49*K48/E21</f>
        <v>0.18666666666666668</v>
      </c>
      <c r="F31" s="31" t="s">
        <v>3</v>
      </c>
      <c r="H31" s="82" t="s">
        <v>27</v>
      </c>
      <c r="I31" s="83"/>
      <c r="J31" s="10">
        <f>CEILING(E22*1.5,0.2)</f>
        <v>0.60000000000000009</v>
      </c>
      <c r="K31" s="4" t="s">
        <v>4</v>
      </c>
      <c r="M31" s="18"/>
      <c r="N31" s="18"/>
      <c r="O31" s="18"/>
    </row>
    <row r="32" spans="2:16" ht="18" x14ac:dyDescent="0.25">
      <c r="B32" s="119" t="s">
        <v>2</v>
      </c>
      <c r="C32" s="120"/>
      <c r="D32" s="120"/>
      <c r="E32" s="30">
        <f>(E30/(E26/100))/E21</f>
        <v>0.58333333333333337</v>
      </c>
      <c r="F32" s="31" t="s">
        <v>4</v>
      </c>
      <c r="H32" s="82" t="s">
        <v>28</v>
      </c>
      <c r="I32" s="83"/>
      <c r="J32" s="10">
        <f>CEILING(E23+E21*1.414+5,10)</f>
        <v>40</v>
      </c>
      <c r="K32" s="4" t="s">
        <v>3</v>
      </c>
      <c r="M32" s="18"/>
      <c r="N32" s="18"/>
      <c r="O32" s="18"/>
    </row>
    <row r="33" spans="2:15" ht="18" x14ac:dyDescent="0.35">
      <c r="B33" s="186" t="s">
        <v>48</v>
      </c>
      <c r="C33" s="187"/>
      <c r="D33" s="188"/>
      <c r="E33" s="55">
        <f>((E55/(J22*10^-6))*E57)+E32</f>
        <v>0.76827033333333339</v>
      </c>
      <c r="F33" s="56" t="s">
        <v>4</v>
      </c>
      <c r="H33" s="79" t="s">
        <v>16</v>
      </c>
      <c r="I33" s="80"/>
      <c r="J33" s="80"/>
      <c r="K33" s="81"/>
      <c r="M33" s="18"/>
      <c r="N33" s="18"/>
      <c r="O33" s="18"/>
    </row>
    <row r="34" spans="2:15" ht="18.75" thickBot="1" x14ac:dyDescent="0.4">
      <c r="B34" s="121" t="s">
        <v>87</v>
      </c>
      <c r="C34" s="122"/>
      <c r="D34" s="122"/>
      <c r="E34" s="57">
        <f>+K59*(J39+E25+J38)+J38*K58</f>
        <v>22.980392156862745</v>
      </c>
      <c r="F34" s="58" t="s">
        <v>3</v>
      </c>
      <c r="H34" s="97" t="s">
        <v>29</v>
      </c>
      <c r="I34" s="98"/>
      <c r="J34" s="3">
        <f>E31/E32</f>
        <v>0.32</v>
      </c>
      <c r="K34" s="11" t="s">
        <v>12</v>
      </c>
      <c r="M34" s="18"/>
      <c r="N34" s="18"/>
      <c r="O34" s="18"/>
    </row>
    <row r="35" spans="2:15" x14ac:dyDescent="0.25">
      <c r="H35" s="97" t="s">
        <v>10</v>
      </c>
      <c r="I35" s="98"/>
      <c r="J35" s="12">
        <f>(E32^2)*J34</f>
        <v>0.10888888888888891</v>
      </c>
      <c r="K35" s="4" t="s">
        <v>5</v>
      </c>
    </row>
    <row r="36" spans="2:15" x14ac:dyDescent="0.25">
      <c r="H36" s="97" t="s">
        <v>30</v>
      </c>
      <c r="I36" s="98"/>
      <c r="J36" s="13" t="str">
        <f>IF(J35&lt;1,IF(J35&lt;0.75,IF(J35&lt;0.5,IF(J35&lt;0.25,IF(J35&lt;0.125,IF(J35&lt;0.1,IF(J35&lt;0.062,"0402","0603"),"0805"),"1206"),"1210"),"1812"),"2512"),"Reduce RSEN or VADJ")</f>
        <v>0805</v>
      </c>
      <c r="K36" s="4"/>
    </row>
    <row r="37" spans="2:15" x14ac:dyDescent="0.25">
      <c r="H37" s="79" t="s">
        <v>22</v>
      </c>
      <c r="I37" s="80"/>
      <c r="J37" s="80"/>
      <c r="K37" s="81"/>
    </row>
    <row r="38" spans="2:15" ht="18" x14ac:dyDescent="0.25">
      <c r="B38" s="139" t="s">
        <v>52</v>
      </c>
      <c r="C38" s="139"/>
      <c r="D38" s="139"/>
      <c r="E38" s="139"/>
      <c r="F38" s="139"/>
      <c r="H38" s="106" t="s">
        <v>69</v>
      </c>
      <c r="I38" s="116"/>
      <c r="J38" s="64">
        <f>+(E23-K50)/(K53+K51)</f>
        <v>2941.1764705882351</v>
      </c>
      <c r="K38" s="11" t="s">
        <v>12</v>
      </c>
    </row>
    <row r="39" spans="2:15" ht="18" x14ac:dyDescent="0.25">
      <c r="H39" s="106" t="s">
        <v>70</v>
      </c>
      <c r="I39" s="116"/>
      <c r="J39" s="64">
        <f>+E25*(K50/K49-1)</f>
        <v>36500</v>
      </c>
      <c r="K39" s="11" t="s">
        <v>12</v>
      </c>
    </row>
    <row r="40" spans="2:15" ht="18" x14ac:dyDescent="0.25">
      <c r="B40" s="140" t="s">
        <v>126</v>
      </c>
      <c r="C40" s="140"/>
      <c r="D40" s="140"/>
      <c r="E40" s="140"/>
      <c r="F40" s="140"/>
      <c r="H40" s="106" t="s">
        <v>74</v>
      </c>
      <c r="I40" s="116"/>
      <c r="J40" s="64">
        <f>+E22*K55*K54/(2.495-E22*K55)</f>
        <v>655.94405594405589</v>
      </c>
      <c r="K40" s="49" t="s">
        <v>12</v>
      </c>
    </row>
    <row r="41" spans="2:15" x14ac:dyDescent="0.25">
      <c r="B41" s="140"/>
      <c r="C41" s="140"/>
      <c r="D41" s="140"/>
      <c r="E41" s="140"/>
      <c r="F41" s="140"/>
      <c r="H41" s="79" t="s">
        <v>23</v>
      </c>
      <c r="I41" s="80"/>
      <c r="J41" s="80"/>
      <c r="K41" s="81"/>
    </row>
    <row r="42" spans="2:15" s="47" customFormat="1" ht="18.75" thickBot="1" x14ac:dyDescent="0.3">
      <c r="B42" s="140"/>
      <c r="C42" s="140"/>
      <c r="D42" s="140"/>
      <c r="E42" s="140"/>
      <c r="F42" s="140"/>
      <c r="H42" s="114" t="s">
        <v>85</v>
      </c>
      <c r="I42" s="115"/>
      <c r="J42" s="14" t="str">
        <f>IF(E30&gt;6, IF(E30&gt;10, IF(E30&gt;25, IF(E30&gt;30, "1000","680"),"470"),"330"),"220")</f>
        <v>220</v>
      </c>
      <c r="K42" s="15" t="s">
        <v>15</v>
      </c>
    </row>
    <row r="43" spans="2:15" s="47" customFormat="1" x14ac:dyDescent="0.25">
      <c r="B43" s="140"/>
      <c r="C43" s="140"/>
      <c r="D43" s="140"/>
      <c r="E43" s="140"/>
      <c r="F43" s="140"/>
      <c r="H43" s="46"/>
      <c r="I43" s="46"/>
      <c r="J43" s="62"/>
      <c r="K43" s="63"/>
    </row>
    <row r="44" spans="2:15" s="47" customFormat="1" x14ac:dyDescent="0.25">
      <c r="H44" s="46"/>
      <c r="I44" s="46"/>
      <c r="J44" s="62"/>
      <c r="K44" s="63"/>
    </row>
    <row r="45" spans="2:15" s="47" customFormat="1" hidden="1" x14ac:dyDescent="0.25">
      <c r="H45" s="46"/>
      <c r="I45" s="46"/>
      <c r="J45" s="62"/>
      <c r="K45" s="63"/>
    </row>
    <row r="46" spans="2:15" ht="15.75" hidden="1" thickBot="1" x14ac:dyDescent="0.3"/>
    <row r="47" spans="2:15" ht="19.5" hidden="1" thickBot="1" x14ac:dyDescent="0.35">
      <c r="B47" s="143" t="s">
        <v>45</v>
      </c>
      <c r="C47" s="144"/>
      <c r="D47" s="144"/>
      <c r="E47" s="144"/>
      <c r="F47" s="145"/>
      <c r="H47" s="133" t="s">
        <v>80</v>
      </c>
      <c r="I47" s="134"/>
      <c r="J47" s="134"/>
      <c r="K47" s="134"/>
      <c r="L47" s="135"/>
    </row>
    <row r="48" spans="2:15" hidden="1" x14ac:dyDescent="0.25">
      <c r="B48" s="146" t="s">
        <v>36</v>
      </c>
      <c r="C48" s="147"/>
      <c r="D48" s="147"/>
      <c r="E48" s="37">
        <v>0.3</v>
      </c>
      <c r="F48" s="38" t="s">
        <v>3</v>
      </c>
      <c r="H48" s="136" t="s">
        <v>84</v>
      </c>
      <c r="I48" s="137"/>
      <c r="J48" s="138"/>
      <c r="K48" s="60">
        <v>7</v>
      </c>
      <c r="L48" s="50" t="s">
        <v>3</v>
      </c>
    </row>
    <row r="49" spans="2:18" hidden="1" x14ac:dyDescent="0.25">
      <c r="B49" s="148" t="s">
        <v>37</v>
      </c>
      <c r="C49" s="149"/>
      <c r="D49" s="149"/>
      <c r="E49" s="24">
        <v>0.4</v>
      </c>
      <c r="F49" s="23" t="s">
        <v>12</v>
      </c>
      <c r="H49" s="130" t="s">
        <v>62</v>
      </c>
      <c r="I49" s="131"/>
      <c r="J49" s="132"/>
      <c r="K49" s="51">
        <v>0.32</v>
      </c>
      <c r="L49" s="50" t="s">
        <v>3</v>
      </c>
    </row>
    <row r="50" spans="2:18" ht="18" hidden="1" x14ac:dyDescent="0.25">
      <c r="B50" s="148" t="s">
        <v>38</v>
      </c>
      <c r="C50" s="149"/>
      <c r="D50" s="149"/>
      <c r="E50" s="24">
        <v>0.25</v>
      </c>
      <c r="F50" s="23" t="s">
        <v>12</v>
      </c>
      <c r="H50" s="130" t="s">
        <v>64</v>
      </c>
      <c r="I50" s="131"/>
      <c r="J50" s="132"/>
      <c r="K50" s="51">
        <f>+E23*0.8</f>
        <v>12</v>
      </c>
      <c r="L50" s="50" t="s">
        <v>3</v>
      </c>
    </row>
    <row r="51" spans="2:18" hidden="1" x14ac:dyDescent="0.25">
      <c r="B51" s="148" t="s">
        <v>39</v>
      </c>
      <c r="C51" s="149"/>
      <c r="D51" s="149"/>
      <c r="E51" s="24">
        <v>0.2</v>
      </c>
      <c r="F51" s="23" t="s">
        <v>12</v>
      </c>
      <c r="H51" s="130" t="s">
        <v>65</v>
      </c>
      <c r="I51" s="131"/>
      <c r="J51" s="132"/>
      <c r="K51" s="53">
        <v>6.9999999999999999E-4</v>
      </c>
      <c r="L51" s="50" t="s">
        <v>4</v>
      </c>
    </row>
    <row r="52" spans="2:18" hidden="1" x14ac:dyDescent="0.25">
      <c r="B52" s="141" t="s">
        <v>42</v>
      </c>
      <c r="C52" s="142"/>
      <c r="D52" s="142"/>
      <c r="E52" s="25">
        <f>E49*E32</f>
        <v>0.23333333333333336</v>
      </c>
      <c r="F52" s="27" t="s">
        <v>3</v>
      </c>
      <c r="H52" s="124" t="s">
        <v>66</v>
      </c>
      <c r="I52" s="125"/>
      <c r="J52" s="126"/>
      <c r="K52" s="53">
        <v>4.0000000000000002E-4</v>
      </c>
      <c r="L52" s="50" t="s">
        <v>4</v>
      </c>
    </row>
    <row r="53" spans="2:18" ht="18" hidden="1" x14ac:dyDescent="0.25">
      <c r="B53" s="141" t="s">
        <v>41</v>
      </c>
      <c r="C53" s="142"/>
      <c r="D53" s="142"/>
      <c r="E53" s="25">
        <f>E50*(E32+E22)</f>
        <v>0.23333333333333334</v>
      </c>
      <c r="F53" s="27" t="s">
        <v>3</v>
      </c>
      <c r="H53" s="124" t="s">
        <v>81</v>
      </c>
      <c r="I53" s="125"/>
      <c r="J53" s="126"/>
      <c r="K53" s="53">
        <f>+K49/E25</f>
        <v>3.2000000000000003E-4</v>
      </c>
      <c r="L53" s="50" t="s">
        <v>4</v>
      </c>
    </row>
    <row r="54" spans="2:18" ht="18" hidden="1" x14ac:dyDescent="0.25">
      <c r="B54" s="141" t="s">
        <v>40</v>
      </c>
      <c r="C54" s="142"/>
      <c r="D54" s="142"/>
      <c r="E54" s="25">
        <f>E32*E51</f>
        <v>0.11666666666666668</v>
      </c>
      <c r="F54" s="27" t="s">
        <v>3</v>
      </c>
      <c r="H54" s="124" t="s">
        <v>75</v>
      </c>
      <c r="I54" s="125"/>
      <c r="J54" s="126"/>
      <c r="K54" s="52">
        <v>4020</v>
      </c>
      <c r="L54" s="50" t="s">
        <v>12</v>
      </c>
    </row>
    <row r="55" spans="2:18" ht="18" hidden="1" x14ac:dyDescent="0.25">
      <c r="B55" s="141" t="s">
        <v>43</v>
      </c>
      <c r="C55" s="142"/>
      <c r="D55" s="142"/>
      <c r="E55" s="25">
        <f>E21-E48-E54-E53-E31-E52</f>
        <v>10.93</v>
      </c>
      <c r="F55" s="27" t="s">
        <v>3</v>
      </c>
      <c r="H55" s="124" t="s">
        <v>76</v>
      </c>
      <c r="I55" s="125"/>
      <c r="J55" s="126"/>
      <c r="K55" s="52">
        <v>1</v>
      </c>
      <c r="L55" s="50" t="s">
        <v>12</v>
      </c>
    </row>
    <row r="56" spans="2:18" ht="18" hidden="1" x14ac:dyDescent="0.25">
      <c r="B56" s="141" t="s">
        <v>44</v>
      </c>
      <c r="C56" s="142"/>
      <c r="D56" s="142"/>
      <c r="E56" s="25">
        <f>E48+E54+E48+E23+E31+E52</f>
        <v>16.136666666666667</v>
      </c>
      <c r="F56" s="27" t="s">
        <v>3</v>
      </c>
      <c r="H56" s="124" t="s">
        <v>71</v>
      </c>
      <c r="I56" s="125"/>
      <c r="J56" s="126"/>
      <c r="K56" s="53">
        <f>+E31/E25</f>
        <v>1.8666666666666669E-4</v>
      </c>
      <c r="L56" s="50" t="s">
        <v>4</v>
      </c>
    </row>
    <row r="57" spans="2:18" hidden="1" x14ac:dyDescent="0.25">
      <c r="B57" s="141" t="s">
        <v>46</v>
      </c>
      <c r="C57" s="142"/>
      <c r="D57" s="142"/>
      <c r="E57" s="26">
        <f>((((0.0149/J34)*J22*10^-6)/E55)+(84*10^-9))*2</f>
        <v>3.3840256175663313E-7</v>
      </c>
      <c r="F57" s="27" t="s">
        <v>35</v>
      </c>
      <c r="H57" s="124" t="s">
        <v>72</v>
      </c>
      <c r="I57" s="125"/>
      <c r="J57" s="126"/>
      <c r="K57" s="53">
        <f>+K56*(E25+J39)</f>
        <v>7.0000000000000009</v>
      </c>
      <c r="L57" s="50" t="s">
        <v>3</v>
      </c>
    </row>
    <row r="58" spans="2:18" hidden="1" x14ac:dyDescent="0.25">
      <c r="B58" s="141" t="s">
        <v>47</v>
      </c>
      <c r="C58" s="142"/>
      <c r="D58" s="142"/>
      <c r="E58" s="26">
        <f>((((0.0149/J34)*J22*10^-6)/E56)+(68*10^-9))*2</f>
        <v>2.5142036769262548E-7</v>
      </c>
      <c r="F58" s="27" t="s">
        <v>35</v>
      </c>
      <c r="H58" s="124" t="s">
        <v>73</v>
      </c>
      <c r="I58" s="125"/>
      <c r="J58" s="126"/>
      <c r="K58" s="53">
        <f>+(E23-K57)/J38-K56</f>
        <v>2.5333333333333332E-3</v>
      </c>
      <c r="L58" s="50" t="s">
        <v>4</v>
      </c>
    </row>
    <row r="59" spans="2:18" ht="15.75" hidden="1" thickBot="1" x14ac:dyDescent="0.3">
      <c r="B59" s="150" t="s">
        <v>34</v>
      </c>
      <c r="C59" s="151"/>
      <c r="D59" s="151"/>
      <c r="E59" s="28">
        <f>1/(E24*1000)</f>
        <v>6.6666666666666671E-7</v>
      </c>
      <c r="F59" s="29" t="s">
        <v>35</v>
      </c>
      <c r="H59" s="127" t="s">
        <v>60</v>
      </c>
      <c r="I59" s="128"/>
      <c r="J59" s="129"/>
      <c r="K59" s="54">
        <f>0.384/E25</f>
        <v>3.8400000000000001E-4</v>
      </c>
      <c r="L59" s="50" t="s">
        <v>4</v>
      </c>
      <c r="N59" s="119" t="s">
        <v>82</v>
      </c>
      <c r="O59" s="120"/>
      <c r="P59" s="120"/>
      <c r="Q59" s="59">
        <f>+K59*(J39+E25+J38)+J38*K52</f>
        <v>16.705882352941178</v>
      </c>
      <c r="R59" s="56" t="s">
        <v>3</v>
      </c>
    </row>
    <row r="60" spans="2:18" hidden="1" x14ac:dyDescent="0.25"/>
    <row r="61" spans="2:18" hidden="1" x14ac:dyDescent="0.25"/>
  </sheetData>
  <sheetProtection password="C407" sheet="1" objects="1" scenarios="1" selectLockedCells="1"/>
  <mergeCells count="66">
    <mergeCell ref="H56:J56"/>
    <mergeCell ref="H39:I39"/>
    <mergeCell ref="H38:I38"/>
    <mergeCell ref="H40:I40"/>
    <mergeCell ref="H41:K41"/>
    <mergeCell ref="H42:I42"/>
    <mergeCell ref="H50:J50"/>
    <mergeCell ref="H51:J51"/>
    <mergeCell ref="H57:J57"/>
    <mergeCell ref="H58:J58"/>
    <mergeCell ref="B59:D59"/>
    <mergeCell ref="B50:D50"/>
    <mergeCell ref="B51:D51"/>
    <mergeCell ref="B52:D52"/>
    <mergeCell ref="B53:D53"/>
    <mergeCell ref="B54:D54"/>
    <mergeCell ref="B55:D55"/>
    <mergeCell ref="H59:J59"/>
    <mergeCell ref="H52:J52"/>
    <mergeCell ref="H53:J53"/>
    <mergeCell ref="H54:J54"/>
    <mergeCell ref="H55:J55"/>
    <mergeCell ref="N59:P59"/>
    <mergeCell ref="H34:I34"/>
    <mergeCell ref="B38:F38"/>
    <mergeCell ref="H35:I35"/>
    <mergeCell ref="H36:I36"/>
    <mergeCell ref="H37:K37"/>
    <mergeCell ref="B34:D34"/>
    <mergeCell ref="B47:F47"/>
    <mergeCell ref="B48:D48"/>
    <mergeCell ref="B49:D49"/>
    <mergeCell ref="H47:L47"/>
    <mergeCell ref="H48:J48"/>
    <mergeCell ref="H49:J49"/>
    <mergeCell ref="B56:D56"/>
    <mergeCell ref="B57:D57"/>
    <mergeCell ref="B58:D58"/>
    <mergeCell ref="B31:D31"/>
    <mergeCell ref="H31:I31"/>
    <mergeCell ref="B32:D32"/>
    <mergeCell ref="H32:I32"/>
    <mergeCell ref="B33:D33"/>
    <mergeCell ref="H33:K33"/>
    <mergeCell ref="B28:D28"/>
    <mergeCell ref="H28:I28"/>
    <mergeCell ref="B29:F29"/>
    <mergeCell ref="H29:I29"/>
    <mergeCell ref="B30:D30"/>
    <mergeCell ref="H30:K30"/>
    <mergeCell ref="B40:F43"/>
    <mergeCell ref="B20:F20"/>
    <mergeCell ref="H20:K20"/>
    <mergeCell ref="B21:D21"/>
    <mergeCell ref="H21:K21"/>
    <mergeCell ref="B22:D22"/>
    <mergeCell ref="H22:I22"/>
    <mergeCell ref="B23:D23"/>
    <mergeCell ref="H23:I23"/>
    <mergeCell ref="B24:D24"/>
    <mergeCell ref="H24:K24"/>
    <mergeCell ref="B25:D25"/>
    <mergeCell ref="H25:I25"/>
    <mergeCell ref="H26:I26"/>
    <mergeCell ref="B26:D26"/>
    <mergeCell ref="H27:K27"/>
  </mergeCells>
  <conditionalFormatting sqref="E21:E26">
    <cfRule type="cellIs" dxfId="7" priority="12" operator="lessThanOrEqual">
      <formula>0</formula>
    </cfRule>
  </conditionalFormatting>
  <conditionalFormatting sqref="E23">
    <cfRule type="cellIs" dxfId="6" priority="10" operator="greaterThan">
      <formula>42</formula>
    </cfRule>
    <cfRule type="cellIs" dxfId="5" priority="11" operator="lessThanOrEqual">
      <formula>5.8</formula>
    </cfRule>
  </conditionalFormatting>
  <conditionalFormatting sqref="E21">
    <cfRule type="cellIs" dxfId="4" priority="9" operator="greaterThanOrEqual">
      <formula>42</formula>
    </cfRule>
  </conditionalFormatting>
  <conditionalFormatting sqref="E32">
    <cfRule type="cellIs" dxfId="3" priority="6" operator="greaterThan">
      <formula>1.1</formula>
    </cfRule>
  </conditionalFormatting>
  <conditionalFormatting sqref="B40:F42">
    <cfRule type="expression" dxfId="2" priority="5">
      <formula>$E$32&gt;1.1</formula>
    </cfRule>
  </conditionalFormatting>
  <conditionalFormatting sqref="B38:F38">
    <cfRule type="expression" dxfId="1" priority="4">
      <formula>$E$31&gt;0.32</formula>
    </cfRule>
  </conditionalFormatting>
  <conditionalFormatting sqref="E31">
    <cfRule type="cellIs" dxfId="0" priority="3" operator="greaterThan">
      <formula>0.32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CB87313-1A2F-4191-862F-EBA35A7AEAF8}">
  <ds:schemaRefs>
    <ds:schemaRef ds:uri="http://schemas.microsoft.com/office/2006/metadata/properties"/>
  </ds:schemaRefs>
</ds:datastoreItem>
</file>

<file path=customXml/itemProps2.xml><?xml version="1.0" encoding="utf-8"?>
<ds:datastoreItem xmlns:ds="http://schemas.openxmlformats.org/officeDocument/2006/customXml" ds:itemID="{8A68AF7B-E2F8-4A11-84BB-BDD0A139B29E}">
  <ds:schemaRefs>
    <ds:schemaRef ds:uri="http://schemas.microsoft.com/sharepoint/v3/contenttype/forms"/>
  </ds:schemaRefs>
</ds:datastoreItem>
</file>

<file path=customXml/itemProps3.xml><?xml version="1.0" encoding="utf-8"?>
<ds:datastoreItem xmlns:ds="http://schemas.openxmlformats.org/officeDocument/2006/customXml" ds:itemID="{8110FD3A-C7BB-4587-8D9B-06DA5C026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BOOST CP</vt:lpstr>
      <vt:lpstr>SEPIC CP</vt:lpstr>
      <vt:lpstr>Boost CC</vt:lpstr>
      <vt:lpstr>SEPIC CC</vt:lpstr>
    </vt:vector>
  </TitlesOfParts>
  <Company>National Semiconductor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a0413969</dc:creator>
  <cp:lastModifiedBy>Chen, Victor</cp:lastModifiedBy>
  <dcterms:created xsi:type="dcterms:W3CDTF">2012-12-10T02:37:14Z</dcterms:created>
  <dcterms:modified xsi:type="dcterms:W3CDTF">2014-07-07T08:41:48Z</dcterms:modified>
</cp:coreProperties>
</file>