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E94C" lockStructure="1"/>
  <bookViews>
    <workbookView windowWidth="22956" windowHeight="11088" activeTab="5"/>
  </bookViews>
  <sheets>
    <sheet name="Accuracy" sheetId="1" r:id="rId1"/>
    <sheet name="Thermistor" sheetId="2" state="hidden" r:id="rId2"/>
    <sheet name="Resistor Network" sheetId="3" state="hidden" r:id="rId3"/>
    <sheet name="Digital" sheetId="4" state="hidden" r:id="rId4"/>
    <sheet name="best fit" sheetId="5" state="hidden" r:id="rId5"/>
    <sheet name="Thermistor Database" sheetId="6" r:id="rId6"/>
    <sheet name="Sheet1" sheetId="7" state="hidden" r:id="rId7"/>
    <sheet name="What If" sheetId="8" state="hidden" r:id="rId8"/>
  </sheets>
  <definedNames>
    <definedName name="_xlnm._FilterDatabase" localSheetId="0" hidden="1">Accuracy!$F$4:$F$34</definedName>
    <definedName name="Beta">#REF!</definedName>
    <definedName name="E96Resistor">Sheet1!$G$3:$G$292</definedName>
    <definedName name="R_at_Ref_Temp">#REF!</definedName>
    <definedName name="Ref_Temp">#REF!</definedName>
    <definedName name="solver_adj" localSheetId="3" hidden="1">Digital!$AB$42:$AB$42</definedName>
    <definedName name="solver_cvg" localSheetId="3" hidden="1">0.0001</definedName>
    <definedName name="solver_drv" localSheetId="3" hidden="1">1</definedName>
    <definedName name="solver_est" localSheetId="3" hidden="1">1</definedName>
    <definedName name="solver_itr" localSheetId="3" hidden="1">100</definedName>
    <definedName name="solver_lin" localSheetId="3" hidden="1">2</definedName>
    <definedName name="solver_neg" localSheetId="3" hidden="1">2</definedName>
    <definedName name="solver_num" localSheetId="3" hidden="1">0</definedName>
    <definedName name="solver_nwt" localSheetId="3" hidden="1">1</definedName>
    <definedName name="solver_opt" localSheetId="3" hidden="1">Digital!$AC$42</definedName>
    <definedName name="solver_pre" localSheetId="3" hidden="1">0.000001</definedName>
    <definedName name="solver_scl" localSheetId="3" hidden="1">2</definedName>
    <definedName name="solver_sho" localSheetId="3" hidden="1">2</definedName>
    <definedName name="solver_tim" localSheetId="3" hidden="1">100</definedName>
    <definedName name="solver_tol" localSheetId="3" hidden="1">0.05</definedName>
    <definedName name="solver_typ" localSheetId="3" hidden="1">3</definedName>
    <definedName name="solver_val" localSheetId="3" hidden="1">0</definedName>
    <definedName name="Tolerance">Sheet1!$J$3:$J$12</definedName>
  </definedNames>
  <calcPr calcId="144525"/>
</workbook>
</file>

<file path=xl/comments1.xml><?xml version="1.0" encoding="utf-8"?>
<comments xmlns="http://schemas.openxmlformats.org/spreadsheetml/2006/main">
  <authors>
    <author>Garry R. Elder</author>
  </authors>
  <commentList>
    <comment ref="K2" authorId="0">
      <text>
        <r>
          <rPr>
            <sz val="9"/>
            <color indexed="81"/>
            <rFont val="宋体"/>
            <charset val="134"/>
          </rPr>
          <t xml:space="preserve">Garry R. Elder:
Even though bqMAXIMO is 14 bit, this value needs to be 15 to calculate the polynomial coeefs correctly.</t>
        </r>
      </text>
    </comment>
  </commentList>
</comments>
</file>

<file path=xl/comments2.xml><?xml version="1.0" encoding="utf-8"?>
<comments xmlns="http://schemas.openxmlformats.org/spreadsheetml/2006/main">
  <authors>
    <author>Garry R. Elder</author>
  </authors>
  <commentList>
    <comment ref="G5" authorId="0">
      <text>
        <r>
          <rPr>
            <sz val="9"/>
            <color indexed="81"/>
            <rFont val="宋体"/>
            <charset val="134"/>
          </rPr>
          <t xml:space="preserve">Garry R. Elder:
18000 is used even though 10k is in bqMaximo. Its effect is scaled by the bq78350 FW before being utilized by the temperature measurement algorithm.</t>
        </r>
      </text>
    </comment>
  </commentList>
</comments>
</file>

<file path=xl/sharedStrings.xml><?xml version="1.0" encoding="utf-8"?>
<sst xmlns="http://schemas.openxmlformats.org/spreadsheetml/2006/main" count="159">
  <si>
    <t>BMS-GMAP Thermistor Temperature Optimizer</t>
  </si>
  <si>
    <t>V 0.07</t>
  </si>
  <si>
    <t>Temp Measurement Range</t>
  </si>
  <si>
    <t>Norm R/T Table</t>
  </si>
  <si>
    <t>Min Temp</t>
  </si>
  <si>
    <t>Temp (°C)</t>
  </si>
  <si>
    <t>Res (Ω)</t>
  </si>
  <si>
    <t>Max Temp</t>
  </si>
  <si>
    <t>Thermistor R_THERM</t>
  </si>
  <si>
    <t>Resistor Tolerance</t>
  </si>
  <si>
    <t>BETA Tolerance</t>
  </si>
  <si>
    <t>R_TH</t>
  </si>
  <si>
    <t>Value (Ω)</t>
  </si>
  <si>
    <t>Temperature Drift</t>
  </si>
  <si>
    <t>R_PAD</t>
  </si>
  <si>
    <t>Calibration Temperature</t>
  </si>
  <si>
    <t>Cal Temp</t>
  </si>
  <si>
    <t>A's</t>
  </si>
  <si>
    <t>B's</t>
  </si>
  <si>
    <t>Ext Coef a1</t>
  </si>
  <si>
    <t>Ext Coef b1</t>
  </si>
  <si>
    <t>Ext Coef a2</t>
  </si>
  <si>
    <t>Ext Coef b2</t>
  </si>
  <si>
    <t>Ext Coef a3</t>
  </si>
  <si>
    <t>Ext Coef b3</t>
  </si>
  <si>
    <t>Ext Coef a4</t>
  </si>
  <si>
    <t>Ext Coef b4</t>
  </si>
  <si>
    <t xml:space="preserve"> </t>
  </si>
  <si>
    <t>Ext Coef a5</t>
  </si>
  <si>
    <t>NOTE: Accuracy Charts DO NOT account for ADC error, just tolernaces entered in left table</t>
  </si>
  <si>
    <t>Instructions</t>
  </si>
  <si>
    <t>1. Insert Restance values in colum G from thermistor data sheet</t>
  </si>
  <si>
    <t>2. Enter the thermistor tolerance in cell D7 and cell D9. Information can be found in the thermistor datasheet</t>
  </si>
  <si>
    <t>3. Select the desire temperature operation rage in cell D3 and cell D4</t>
  </si>
  <si>
    <t>4. Optional: Select the calibration temperature in cell D26. This will not affect the calculated thermistor coef result.</t>
  </si>
  <si>
    <t>Calibration temperature will change how the temperature error is distributed and the result is reflected on the graph above</t>
  </si>
  <si>
    <t>5. Copy the A (cell C30 to C34) and B (cell E30 to E33) coef to the device dataflash</t>
  </si>
  <si>
    <t>Steinberg Stein</t>
  </si>
  <si>
    <t>Therm-</t>
  </si>
  <si>
    <t>Therm+</t>
  </si>
  <si>
    <t>Beta-</t>
  </si>
  <si>
    <t>Beta+</t>
  </si>
  <si>
    <t>Temperature</t>
  </si>
  <si>
    <t>Therm</t>
  </si>
  <si>
    <t>Temp</t>
  </si>
  <si>
    <t>Error%</t>
  </si>
  <si>
    <t>Error C</t>
  </si>
  <si>
    <t>BETA</t>
  </si>
  <si>
    <t>Therm Min</t>
  </si>
  <si>
    <t>Therm Max</t>
  </si>
  <si>
    <t>Min Err</t>
  </si>
  <si>
    <t>Max Err</t>
  </si>
  <si>
    <t>Tol min</t>
  </si>
  <si>
    <t>Tol max</t>
  </si>
  <si>
    <t>Res</t>
  </si>
  <si>
    <t>ln(Res)</t>
  </si>
  <si>
    <t>1/Temp</t>
  </si>
  <si>
    <t>min</t>
  </si>
  <si>
    <t>nom</t>
  </si>
  <si>
    <t>max</t>
  </si>
  <si>
    <t>A</t>
  </si>
  <si>
    <t>B</t>
  </si>
  <si>
    <t>C</t>
  </si>
  <si>
    <t>mid1</t>
  </si>
  <si>
    <t>mid2</t>
  </si>
  <si>
    <t>3rd Order</t>
  </si>
  <si>
    <t>D</t>
  </si>
  <si>
    <t>Resistor Network</t>
  </si>
  <si>
    <t>R-</t>
  </si>
  <si>
    <t>R+</t>
  </si>
  <si>
    <t>TC-</t>
  </si>
  <si>
    <t>TC+</t>
  </si>
  <si>
    <t>ResNetTemp</t>
  </si>
  <si>
    <t>R_TH nom</t>
  </si>
  <si>
    <t>R_TH min</t>
  </si>
  <si>
    <t>R_TH max</t>
  </si>
  <si>
    <t>R_PAD nom</t>
  </si>
  <si>
    <t>R_PAD min</t>
  </si>
  <si>
    <t>R_PAD max</t>
  </si>
  <si>
    <t>Vout/Vin</t>
  </si>
  <si>
    <t>Vout/Vin min</t>
  </si>
  <si>
    <t>Vout/Vin max</t>
  </si>
  <si>
    <t>Min Network Temp</t>
  </si>
  <si>
    <t>Max Network Temp</t>
  </si>
  <si>
    <t>x</t>
  </si>
  <si>
    <t>y</t>
  </si>
  <si>
    <t>y=ax+b</t>
  </si>
  <si>
    <t>Temp step</t>
  </si>
  <si>
    <t>a=</t>
  </si>
  <si>
    <t>b=</t>
  </si>
  <si>
    <t>Vref (V)</t>
  </si>
  <si>
    <t>Eff Res</t>
  </si>
  <si>
    <t>Eff Res V</t>
  </si>
  <si>
    <t>Quantization Error</t>
  </si>
  <si>
    <t>Cal temp</t>
  </si>
  <si>
    <t>Range Temp</t>
  </si>
  <si>
    <t>AD Count Nom</t>
  </si>
  <si>
    <t>AD Count Min</t>
  </si>
  <si>
    <t>AD Count Max</t>
  </si>
  <si>
    <t>calculated value</t>
  </si>
  <si>
    <t>Error nom</t>
  </si>
  <si>
    <t>Error min</t>
  </si>
  <si>
    <t>Error max</t>
  </si>
  <si>
    <t>Cal value</t>
  </si>
  <si>
    <t>A4</t>
  </si>
  <si>
    <t>A3</t>
  </si>
  <si>
    <t>B3</t>
  </si>
  <si>
    <t>A2</t>
  </si>
  <si>
    <t>B2</t>
  </si>
  <si>
    <t>A1</t>
  </si>
  <si>
    <t>B1</t>
  </si>
  <si>
    <t>A0</t>
  </si>
  <si>
    <t>B0</t>
  </si>
  <si>
    <t>A x</t>
  </si>
  <si>
    <t xml:space="preserve"> A y</t>
  </si>
  <si>
    <t>B x</t>
  </si>
  <si>
    <t>B y</t>
  </si>
  <si>
    <t>Range</t>
  </si>
  <si>
    <t>Range for A x</t>
  </si>
  <si>
    <t>Range for A y</t>
  </si>
  <si>
    <t>Temp-0.1</t>
  </si>
  <si>
    <t>RTH(Temp-0.1)</t>
  </si>
  <si>
    <t>min bit resolution</t>
  </si>
  <si>
    <t>Vo/Vin in AD</t>
  </si>
  <si>
    <t>desired response</t>
  </si>
  <si>
    <t>DR in ADC</t>
  </si>
  <si>
    <t>V/DR</t>
  </si>
  <si>
    <t>V/DR*2^14</t>
  </si>
  <si>
    <t>AA</t>
  </si>
  <si>
    <t>Range for B x</t>
  </si>
  <si>
    <t>Range for B y</t>
  </si>
  <si>
    <t>Error degC</t>
  </si>
  <si>
    <t>m</t>
  </si>
  <si>
    <t>Semitec AT103-2</t>
  </si>
  <si>
    <t>Mitsubishi BN35-3H103F</t>
  </si>
  <si>
    <t>Vishay NTCS0805E3153FMT</t>
  </si>
  <si>
    <t>Epcos B57869S0103</t>
  </si>
  <si>
    <t>E96 log Row</t>
  </si>
  <si>
    <t>E96 Resistor Values</t>
  </si>
  <si>
    <t>Tolerance</t>
  </si>
  <si>
    <t>1K</t>
  </si>
  <si>
    <t>10K</t>
  </si>
  <si>
    <t>100k</t>
  </si>
  <si>
    <t>1M</t>
  </si>
  <si>
    <t>10M</t>
  </si>
  <si>
    <t>Therm Res</t>
  </si>
  <si>
    <t>Rint</t>
  </si>
  <si>
    <t>Theoretical Calculation of A/D Count</t>
  </si>
  <si>
    <t>F/W step 1</t>
  </si>
  <si>
    <t>F/W step 2</t>
  </si>
  <si>
    <t>F/W step 3</t>
  </si>
  <si>
    <t>F/W step 4</t>
  </si>
  <si>
    <t>Calculate Kelvin</t>
  </si>
  <si>
    <t>Calculate degC</t>
  </si>
  <si>
    <t>Nominal Uncalibrated Error in degrees C</t>
  </si>
  <si>
    <t>rc0</t>
  </si>
  <si>
    <t>adc0</t>
  </si>
  <si>
    <t>Rpad</t>
  </si>
  <si>
    <t>Note: Above numbers can be copied from Accuracy Tab using Paste Special with values only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</si>
</sst>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.000E+00"/>
    <numFmt numFmtId="41" formatCode="_ * #,##0_ ;_ * \-#,##0_ ;_ * &quot;-&quot;_ ;_ @_ "/>
    <numFmt numFmtId="43" formatCode="_ * #,##0.00_ ;_ * \-#,##0.00_ ;_ * &quot;-&quot;??_ ;_ @_ "/>
    <numFmt numFmtId="177" formatCode="0.0%"/>
    <numFmt numFmtId="44" formatCode="_ &quot;￥&quot;* #,##0.00_ ;_ &quot;￥&quot;* \-#,##0.00_ ;_ &quot;￥&quot;* &quot;-&quot;??_ ;_ @_ "/>
    <numFmt numFmtId="178" formatCode="0.000"/>
    <numFmt numFmtId="179" formatCode="0.0"/>
  </numFmts>
  <fonts count="27">
    <font>
      <sz val="10"/>
      <name val="Arial"/>
      <charset val="134"/>
    </font>
    <font>
      <b/>
      <sz val="10"/>
      <name val="Arial"/>
      <charset val="134"/>
    </font>
    <font>
      <sz val="10"/>
      <name val="Arial"/>
      <charset val="134"/>
    </font>
    <font>
      <sz val="10"/>
      <color indexed="8"/>
      <name val="Tahoma"/>
      <charset val="134"/>
    </font>
    <font>
      <b/>
      <sz val="10"/>
      <color indexed="8"/>
      <name val="Tahoma"/>
      <charset val="134"/>
    </font>
    <font>
      <b/>
      <sz val="12"/>
      <name val="Arial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5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8" borderId="24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20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2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14" borderId="22" applyNumberFormat="0" applyAlignment="0" applyProtection="0">
      <alignment vertical="center"/>
    </xf>
    <xf numFmtId="0" fontId="23" fillId="14" borderId="23" applyNumberFormat="0" applyAlignment="0" applyProtection="0">
      <alignment vertical="center"/>
    </xf>
    <xf numFmtId="0" fontId="24" fillId="25" borderId="2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0" fillId="0" borderId="0"/>
  </cellStyleXfs>
  <cellXfs count="85">
    <xf numFmtId="0" fontId="0" fillId="0" borderId="0" xfId="49"/>
    <xf numFmtId="0" fontId="0" fillId="0" borderId="0" xfId="49" applyAlignment="1">
      <alignment wrapText="1"/>
    </xf>
    <xf numFmtId="0" fontId="0" fillId="0" borderId="0" xfId="49" applyFill="1"/>
    <xf numFmtId="0" fontId="0" fillId="0" borderId="1" xfId="49" applyBorder="1" applyAlignment="1">
      <alignment wrapText="1"/>
    </xf>
    <xf numFmtId="0" fontId="0" fillId="2" borderId="2" xfId="49" applyFill="1" applyBorder="1"/>
    <xf numFmtId="0" fontId="0" fillId="2" borderId="3" xfId="49" applyFill="1" applyBorder="1"/>
    <xf numFmtId="0" fontId="1" fillId="3" borderId="4" xfId="49" applyFont="1" applyFill="1" applyBorder="1" applyAlignment="1">
      <alignment wrapText="1"/>
    </xf>
    <xf numFmtId="0" fontId="0" fillId="0" borderId="1" xfId="49" applyBorder="1"/>
    <xf numFmtId="0" fontId="0" fillId="2" borderId="4" xfId="49" applyFill="1" applyBorder="1"/>
    <xf numFmtId="10" fontId="0" fillId="0" borderId="1" xfId="49" applyNumberFormat="1" applyBorder="1"/>
    <xf numFmtId="0" fontId="0" fillId="2" borderId="5" xfId="49" applyFill="1" applyBorder="1"/>
    <xf numFmtId="0" fontId="0" fillId="3" borderId="4" xfId="49" applyFill="1" applyBorder="1"/>
    <xf numFmtId="0" fontId="0" fillId="0" borderId="1" xfId="49" applyFill="1" applyBorder="1"/>
    <xf numFmtId="0" fontId="0" fillId="2" borderId="6" xfId="49" applyFill="1" applyBorder="1"/>
    <xf numFmtId="0" fontId="0" fillId="2" borderId="1" xfId="49" applyFill="1" applyBorder="1"/>
    <xf numFmtId="0" fontId="2" fillId="0" borderId="0" xfId="49" applyFont="1"/>
    <xf numFmtId="0" fontId="0" fillId="0" borderId="0" xfId="49" applyBorder="1"/>
    <xf numFmtId="0" fontId="0" fillId="0" borderId="0" xfId="49" applyFill="1" applyBorder="1"/>
    <xf numFmtId="0" fontId="1" fillId="0" borderId="0" xfId="49" applyFont="1" applyAlignment="1">
      <alignment wrapText="1"/>
    </xf>
    <xf numFmtId="0" fontId="1" fillId="0" borderId="0" xfId="49" applyFont="1" applyFill="1" applyBorder="1" applyAlignment="1">
      <alignment wrapText="1"/>
    </xf>
    <xf numFmtId="0" fontId="1" fillId="4" borderId="4" xfId="49" applyFont="1" applyFill="1" applyBorder="1" applyAlignment="1">
      <alignment wrapText="1"/>
    </xf>
    <xf numFmtId="0" fontId="2" fillId="4" borderId="4" xfId="49" applyFont="1" applyFill="1" applyBorder="1" applyAlignment="1">
      <alignment wrapText="1"/>
    </xf>
    <xf numFmtId="178" fontId="0" fillId="4" borderId="4" xfId="49" applyNumberFormat="1" applyFill="1" applyBorder="1"/>
    <xf numFmtId="0" fontId="0" fillId="4" borderId="4" xfId="49" applyFill="1" applyBorder="1"/>
    <xf numFmtId="0" fontId="0" fillId="0" borderId="4" xfId="49" applyBorder="1"/>
    <xf numFmtId="10" fontId="0" fillId="0" borderId="4" xfId="49" applyNumberFormat="1" applyBorder="1"/>
    <xf numFmtId="0" fontId="0" fillId="5" borderId="4" xfId="49" applyFill="1" applyBorder="1" applyProtection="1">
      <protection locked="0"/>
    </xf>
    <xf numFmtId="0" fontId="0" fillId="0" borderId="4" xfId="49" applyFill="1" applyBorder="1"/>
    <xf numFmtId="0" fontId="0" fillId="6" borderId="4" xfId="49" applyFill="1" applyBorder="1" applyAlignment="1">
      <alignment horizontal="right"/>
    </xf>
    <xf numFmtId="2" fontId="0" fillId="0" borderId="0" xfId="49" applyNumberFormat="1"/>
    <xf numFmtId="178" fontId="0" fillId="2" borderId="4" xfId="49" applyNumberFormat="1" applyFill="1" applyBorder="1"/>
    <xf numFmtId="1" fontId="0" fillId="0" borderId="0" xfId="49" applyNumberFormat="1"/>
    <xf numFmtId="179" fontId="0" fillId="0" borderId="0" xfId="49" applyNumberFormat="1"/>
    <xf numFmtId="0" fontId="0" fillId="7" borderId="0" xfId="49" applyFill="1"/>
    <xf numFmtId="2" fontId="0" fillId="0" borderId="0" xfId="49" applyNumberFormat="1" applyFill="1" applyBorder="1"/>
    <xf numFmtId="0" fontId="0" fillId="0" borderId="0" xfId="49" applyFill="1" applyBorder="1" applyAlignment="1">
      <alignment horizontal="center"/>
    </xf>
    <xf numFmtId="10" fontId="0" fillId="0" borderId="0" xfId="49" applyNumberFormat="1"/>
    <xf numFmtId="2" fontId="0" fillId="0" borderId="0" xfId="49" applyNumberFormat="1" applyBorder="1"/>
    <xf numFmtId="179" fontId="0" fillId="2" borderId="4" xfId="49" applyNumberFormat="1" applyFill="1" applyBorder="1"/>
    <xf numFmtId="179" fontId="0" fillId="0" borderId="0" xfId="49" applyNumberFormat="1" applyFill="1" applyBorder="1"/>
    <xf numFmtId="178" fontId="0" fillId="0" borderId="0" xfId="49" applyNumberFormat="1"/>
    <xf numFmtId="0" fontId="3" fillId="0" borderId="0" xfId="49" applyFont="1" applyFill="1" applyBorder="1" applyAlignment="1">
      <alignment vertical="top" wrapText="1"/>
    </xf>
    <xf numFmtId="0" fontId="4" fillId="0" borderId="0" xfId="49" applyFont="1" applyFill="1" applyBorder="1" applyAlignment="1">
      <alignment horizontal="left" vertical="top" wrapText="1"/>
    </xf>
    <xf numFmtId="0" fontId="3" fillId="0" borderId="0" xfId="49" applyFont="1" applyFill="1" applyBorder="1" applyAlignment="1">
      <alignment horizontal="left" vertical="top" wrapText="1"/>
    </xf>
    <xf numFmtId="0" fontId="0" fillId="0" borderId="0" xfId="49" applyFill="1" applyBorder="1" applyAlignment="1">
      <alignment horizontal="left" vertical="top" wrapText="1"/>
    </xf>
    <xf numFmtId="10" fontId="0" fillId="0" borderId="0" xfId="49" applyNumberFormat="1" applyAlignment="1">
      <alignment horizontal="right"/>
    </xf>
    <xf numFmtId="0" fontId="1" fillId="0" borderId="0" xfId="49" applyFont="1" applyFill="1" applyBorder="1" applyAlignment="1">
      <alignment horizontal="center" vertical="center" wrapText="1"/>
    </xf>
    <xf numFmtId="0" fontId="0" fillId="0" borderId="0" xfId="49" applyFill="1" applyBorder="1" applyAlignment="1">
      <alignment wrapText="1"/>
    </xf>
    <xf numFmtId="0" fontId="1" fillId="2" borderId="4" xfId="49" applyFont="1" applyFill="1" applyBorder="1"/>
    <xf numFmtId="177" fontId="0" fillId="0" borderId="0" xfId="49" applyNumberFormat="1"/>
    <xf numFmtId="0" fontId="0" fillId="0" borderId="7" xfId="49" applyBorder="1"/>
    <xf numFmtId="0" fontId="0" fillId="0" borderId="8" xfId="49" applyBorder="1"/>
    <xf numFmtId="0" fontId="0" fillId="0" borderId="9" xfId="49" applyBorder="1"/>
    <xf numFmtId="0" fontId="0" fillId="0" borderId="10" xfId="49" applyBorder="1"/>
    <xf numFmtId="0" fontId="0" fillId="0" borderId="11" xfId="49" applyBorder="1"/>
    <xf numFmtId="176" fontId="0" fillId="0" borderId="0" xfId="49" applyNumberFormat="1" applyBorder="1"/>
    <xf numFmtId="0" fontId="0" fillId="0" borderId="12" xfId="49" applyBorder="1"/>
    <xf numFmtId="0" fontId="0" fillId="0" borderId="13" xfId="49" applyBorder="1"/>
    <xf numFmtId="176" fontId="0" fillId="0" borderId="13" xfId="49" applyNumberFormat="1" applyBorder="1"/>
    <xf numFmtId="0" fontId="0" fillId="0" borderId="14" xfId="49" applyBorder="1"/>
    <xf numFmtId="0" fontId="1" fillId="0" borderId="0" xfId="49" applyFont="1"/>
    <xf numFmtId="0" fontId="1" fillId="0" borderId="7" xfId="49" applyFont="1" applyBorder="1"/>
    <xf numFmtId="0" fontId="1" fillId="0" borderId="8" xfId="49" applyFont="1" applyBorder="1"/>
    <xf numFmtId="0" fontId="0" fillId="6" borderId="4" xfId="49" applyFill="1" applyBorder="1" applyProtection="1">
      <protection locked="0"/>
    </xf>
    <xf numFmtId="0" fontId="1" fillId="0" borderId="10" xfId="49" applyFont="1" applyBorder="1"/>
    <xf numFmtId="10" fontId="0" fillId="5" borderId="4" xfId="49" applyNumberFormat="1" applyFill="1" applyBorder="1" applyProtection="1">
      <protection locked="0"/>
    </xf>
    <xf numFmtId="0" fontId="0" fillId="8" borderId="4" xfId="49" applyNumberFormat="1" applyFill="1" applyBorder="1" applyProtection="1"/>
    <xf numFmtId="10" fontId="0" fillId="8" borderId="4" xfId="49" applyNumberFormat="1" applyFill="1" applyBorder="1" applyProtection="1"/>
    <xf numFmtId="1" fontId="0" fillId="8" borderId="4" xfId="49" applyNumberFormat="1" applyFill="1" applyBorder="1" applyProtection="1"/>
    <xf numFmtId="0" fontId="0" fillId="0" borderId="0" xfId="49" applyBorder="1" applyProtection="1">
      <protection locked="0"/>
    </xf>
    <xf numFmtId="0" fontId="1" fillId="0" borderId="0" xfId="49" applyFont="1" applyBorder="1"/>
    <xf numFmtId="0" fontId="0" fillId="0" borderId="15" xfId="49" applyBorder="1"/>
    <xf numFmtId="0" fontId="0" fillId="0" borderId="2" xfId="49" applyBorder="1"/>
    <xf numFmtId="0" fontId="0" fillId="0" borderId="16" xfId="49" applyBorder="1"/>
    <xf numFmtId="0" fontId="0" fillId="0" borderId="17" xfId="49" applyBorder="1"/>
    <xf numFmtId="0" fontId="0" fillId="0" borderId="18" xfId="49" applyBorder="1"/>
    <xf numFmtId="0" fontId="0" fillId="0" borderId="6" xfId="49" applyBorder="1"/>
    <xf numFmtId="0" fontId="0" fillId="0" borderId="19" xfId="49" applyBorder="1"/>
    <xf numFmtId="0" fontId="0" fillId="6" borderId="5" xfId="49" applyFill="1" applyBorder="1" applyAlignment="1">
      <alignment horizontal="right"/>
    </xf>
    <xf numFmtId="0" fontId="0" fillId="0" borderId="11" xfId="49" applyFill="1" applyBorder="1" applyAlignment="1">
      <alignment horizontal="right"/>
    </xf>
    <xf numFmtId="0" fontId="0" fillId="0" borderId="0" xfId="49" applyBorder="1" applyAlignment="1"/>
    <xf numFmtId="0" fontId="5" fillId="0" borderId="0" xfId="49" applyFont="1" applyAlignment="1">
      <alignment horizontal="center" vertical="center"/>
    </xf>
    <xf numFmtId="0" fontId="5" fillId="0" borderId="0" xfId="49" applyFont="1"/>
    <xf numFmtId="0" fontId="6" fillId="0" borderId="0" xfId="49" applyFont="1"/>
    <xf numFmtId="10" fontId="0" fillId="0" borderId="0" xfId="49" applyNumberFormat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7"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/>
        <i val="0"/>
        <strike/>
        <color indexed="53"/>
      </font>
    </dxf>
    <dxf>
      <font>
        <b val="0"/>
        <i val="0"/>
        <color indexed="10"/>
      </font>
    </dxf>
    <dxf>
      <font>
        <b val="0"/>
        <i val="0"/>
        <color indexed="53"/>
      </font>
      <fill>
        <patternFill patternType="solid">
          <bgColor indexed="53"/>
        </patternFill>
      </fill>
    </dxf>
    <dxf>
      <font>
        <b/>
        <i val="0"/>
        <strike/>
        <color indexed="53"/>
      </font>
    </dxf>
  </dxf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Thermistor Resistor Change vs. Temp</a:t>
            </a:r>
          </a:p>
        </c:rich>
      </c:tx>
      <c:layout>
        <c:manualLayout>
          <c:xMode val="edge"/>
          <c:yMode val="edge"/>
          <c:x val="0.187500546806649"/>
          <c:y val="0.036764705882352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5781315565276"/>
          <c:y val="0.209558823529412"/>
          <c:w val="0.669272535381408"/>
          <c:h val="0.536764705882352"/>
        </c:manualLayout>
      </c:layout>
      <c:scatterChart>
        <c:scatterStyle val="line"/>
        <c:varyColors val="0"/>
        <c:ser>
          <c:idx val="1"/>
          <c:order val="0"/>
          <c:tx>
            <c:strRef>
              <c:f>Thermistor!$D$4</c:f>
              <c:strCache>
                <c:ptCount val="1"/>
                <c:pt idx="0">
                  <c:v>Therm</c:v>
                </c:pt>
              </c:strCache>
            </c:strRef>
          </c:tx>
          <c:spPr>
            <a:noFill/>
            <a:ln w="25400">
              <a:solidFill>
                <a:srgbClr val="00000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Thermistor!$C$5:$C$40</c:f>
              <c:numCache>
                <c:formatCode>General</c:formatCode>
                <c:ptCount val="36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  <c:pt idx="31" c:formatCode="General">
                  <c:v>115</c:v>
                </c:pt>
                <c:pt idx="32" c:formatCode="General">
                  <c:v>0</c:v>
                </c:pt>
                <c:pt idx="33" c:formatCode="General">
                  <c:v>0</c:v>
                </c:pt>
                <c:pt idx="34" c:formatCode="General">
                  <c:v>0</c:v>
                </c:pt>
                <c:pt idx="35" c:formatCode="General">
                  <c:v>0</c:v>
                </c:pt>
              </c:numCache>
            </c:numRef>
          </c:xVal>
          <c:yVal>
            <c:numRef>
              <c:f>Thermistor!$D$5:$D$40</c:f>
              <c:numCache>
                <c:formatCode>General</c:formatCode>
                <c:ptCount val="36"/>
                <c:pt idx="0" c:formatCode="General">
                  <c:v>188500</c:v>
                </c:pt>
                <c:pt idx="1" c:formatCode="General">
                  <c:v>144100</c:v>
                </c:pt>
                <c:pt idx="2" c:formatCode="General">
                  <c:v>111300</c:v>
                </c:pt>
                <c:pt idx="3" c:formatCode="General">
                  <c:v>86430</c:v>
                </c:pt>
                <c:pt idx="4" c:formatCode="General">
                  <c:v>67770</c:v>
                </c:pt>
                <c:pt idx="5" c:formatCode="General">
                  <c:v>53410</c:v>
                </c:pt>
                <c:pt idx="6" c:formatCode="General">
                  <c:v>42470</c:v>
                </c:pt>
                <c:pt idx="7" c:formatCode="General">
                  <c:v>33900</c:v>
                </c:pt>
                <c:pt idx="8" c:formatCode="General">
                  <c:v>27280</c:v>
                </c:pt>
                <c:pt idx="9" c:formatCode="General">
                  <c:v>22050</c:v>
                </c:pt>
                <c:pt idx="10" c:formatCode="General">
                  <c:v>17960</c:v>
                </c:pt>
                <c:pt idx="11" c:formatCode="General">
                  <c:v>14690</c:v>
                </c:pt>
                <c:pt idx="12" c:formatCode="General">
                  <c:v>12090</c:v>
                </c:pt>
                <c:pt idx="13" c:formatCode="General">
                  <c:v>10000</c:v>
                </c:pt>
                <c:pt idx="14" c:formatCode="General">
                  <c:v>8313</c:v>
                </c:pt>
                <c:pt idx="15" c:formatCode="General">
                  <c:v>6940</c:v>
                </c:pt>
                <c:pt idx="16" c:formatCode="General">
                  <c:v>5827</c:v>
                </c:pt>
                <c:pt idx="17" c:formatCode="General">
                  <c:v>4911</c:v>
                </c:pt>
                <c:pt idx="18" c:formatCode="General">
                  <c:v>4160</c:v>
                </c:pt>
                <c:pt idx="19" c:formatCode="General">
                  <c:v>3536</c:v>
                </c:pt>
                <c:pt idx="20" c:formatCode="General">
                  <c:v>3020</c:v>
                </c:pt>
                <c:pt idx="21" c:formatCode="General">
                  <c:v>2588</c:v>
                </c:pt>
                <c:pt idx="22" c:formatCode="General">
                  <c:v>2228</c:v>
                </c:pt>
                <c:pt idx="23" c:formatCode="General">
                  <c:v>1924</c:v>
                </c:pt>
                <c:pt idx="24" c:formatCode="General">
                  <c:v>1668</c:v>
                </c:pt>
                <c:pt idx="25" c:formatCode="General">
                  <c:v>1451</c:v>
                </c:pt>
                <c:pt idx="26" c:formatCode="General">
                  <c:v>1266</c:v>
                </c:pt>
                <c:pt idx="27" c:formatCode="General">
                  <c:v>1108</c:v>
                </c:pt>
                <c:pt idx="28" c:formatCode="General">
                  <c:v>973.1</c:v>
                </c:pt>
                <c:pt idx="29" c:formatCode="General">
                  <c:v>857.2</c:v>
                </c:pt>
                <c:pt idx="30" c:formatCode="General">
                  <c:v>757.6</c:v>
                </c:pt>
                <c:pt idx="31" c:formatCode="General">
                  <c:v>0</c:v>
                </c:pt>
                <c:pt idx="32" c:formatCode="General">
                  <c:v>0</c:v>
                </c:pt>
                <c:pt idx="33" c:formatCode="General">
                  <c:v>0</c:v>
                </c:pt>
                <c:pt idx="34" c:formatCode="General">
                  <c:v>0</c:v>
                </c:pt>
                <c:pt idx="35" c:formatCode="General">
                  <c:v>0</c:v>
                </c:pt>
              </c:numCache>
            </c:numRef>
          </c:y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28054400"/>
        <c:axId val="128056320"/>
      </c:scatterChart>
      <c:valAx>
        <c:axId val="128054400"/>
        <c:scaling>
          <c:orientation val="minMax"/>
          <c:max val="120"/>
          <c:min val="-40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40105260279965"/>
              <c:y val="0.860294117647059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056320"/>
        <c:crosses val="autoZero"/>
        <c:crossBetween val="midCat"/>
        <c:majorUnit val="20"/>
      </c:valAx>
      <c:valAx>
        <c:axId val="128056320"/>
        <c:scaling>
          <c:orientation val="minMax"/>
          <c:min val="100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Resistance (</a:t>
                </a:r>
                <a:r>
                  <a:rPr lang="el-G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Ω)</a:t>
                </a:r>
              </a:p>
            </c:rich>
          </c:tx>
          <c:layout>
            <c:manualLayout>
              <c:xMode val="edge"/>
              <c:yMode val="edge"/>
              <c:x val="0.0416666666666667"/>
              <c:y val="0.308823529411765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054400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Vout/Vin vs ideal</a:t>
            </a:r>
          </a:p>
        </c:rich>
      </c:tx>
      <c:layout>
        <c:manualLayout>
          <c:xMode val="edge"/>
          <c:yMode val="edge"/>
          <c:x val="0.356771653543307"/>
          <c:y val="0.03676463518983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7187798023982"/>
          <c:y val="0.208791955671774"/>
          <c:w val="0.812502066299607"/>
          <c:h val="0.538463464627205"/>
        </c:manualLayout>
      </c:layout>
      <c:lineChart>
        <c:grouping val="standard"/>
        <c:varyColors val="0"/>
        <c:ser>
          <c:idx val="0"/>
          <c:order val="0"/>
          <c:tx>
            <c:strRef>
              <c:f>'Resistor Network'!$AB$4</c:f>
              <c:strCache>
                <c:ptCount val="1"/>
                <c:pt idx="0">
                  <c:v>Vout/Vin</c:v>
                </c:pt>
              </c:strCache>
            </c:strRef>
          </c:tx>
          <c:spPr>
            <a:noFill/>
            <a:ln w="12700">
              <a:solidFill>
                <a:srgbClr val="000080"/>
              </a:solidFill>
              <a:prstDash val="solid"/>
            </a:ln>
            <a:effectLst/>
          </c:spPr>
          <c:marker>
            <c:symbol val="none"/>
          </c:marker>
          <c:cat>
            <c:numRef>
              <c:f>'Resistor Network'!$C$5:$C$35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cat>
          <c:val>
            <c:numRef>
              <c:f>'Resistor Network'!$AB$5:$AB$35</c:f>
              <c:numCache>
                <c:formatCode>0.000</c:formatCode>
                <c:ptCount val="31"/>
                <c:pt idx="0">
                  <c:v>0.912832929782082</c:v>
                </c:pt>
                <c:pt idx="1">
                  <c:v>0.888957433682912</c:v>
                </c:pt>
                <c:pt idx="2">
                  <c:v>0.860788863109049</c:v>
                </c:pt>
                <c:pt idx="3">
                  <c:v>0.827635736857225</c:v>
                </c:pt>
                <c:pt idx="4">
                  <c:v>0.790136411332634</c:v>
                </c:pt>
                <c:pt idx="5">
                  <c:v>0.74793446296037</c:v>
                </c:pt>
                <c:pt idx="6">
                  <c:v>0.702331734744501</c:v>
                </c:pt>
                <c:pt idx="7">
                  <c:v>0.653179190751445</c:v>
                </c:pt>
                <c:pt idx="8">
                  <c:v>0.602473498233215</c:v>
                </c:pt>
                <c:pt idx="9">
                  <c:v>0.550561797752809</c:v>
                </c:pt>
                <c:pt idx="10">
                  <c:v>0.49944382647386</c:v>
                </c:pt>
                <c:pt idx="11">
                  <c:v>0.44937289691037</c:v>
                </c:pt>
                <c:pt idx="12">
                  <c:v>0.401794616151545</c:v>
                </c:pt>
                <c:pt idx="13">
                  <c:v>0.357142857142857</c:v>
                </c:pt>
                <c:pt idx="14">
                  <c:v>0.315927488313761</c:v>
                </c:pt>
                <c:pt idx="15">
                  <c:v>0.278267842822775</c:v>
                </c:pt>
                <c:pt idx="16">
                  <c:v>0.244554496999203</c:v>
                </c:pt>
                <c:pt idx="17">
                  <c:v>0.214351185020296</c:v>
                </c:pt>
                <c:pt idx="18">
                  <c:v>0.187725631768953</c:v>
                </c:pt>
                <c:pt idx="19">
                  <c:v>0.164190193164933</c:v>
                </c:pt>
                <c:pt idx="20">
                  <c:v>0.143672692673644</c:v>
                </c:pt>
                <c:pt idx="21">
                  <c:v>0.125704293763357</c:v>
                </c:pt>
                <c:pt idx="22">
                  <c:v>0.110144354360293</c:v>
                </c:pt>
                <c:pt idx="23">
                  <c:v>0.0965669544268219</c:v>
                </c:pt>
                <c:pt idx="24">
                  <c:v>0.0848078096400244</c:v>
                </c:pt>
                <c:pt idx="25">
                  <c:v>0.074597707058763</c:v>
                </c:pt>
                <c:pt idx="26">
                  <c:v>0.0657116163189038</c:v>
                </c:pt>
                <c:pt idx="27">
                  <c:v>0.0579861837973624</c:v>
                </c:pt>
                <c:pt idx="28">
                  <c:v>0.0512884030548513</c:v>
                </c:pt>
                <c:pt idx="29">
                  <c:v>0.0454574380077636</c:v>
                </c:pt>
                <c:pt idx="30">
                  <c:v>0.0403889623405979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'best fit'!$T$4</c:f>
              <c:strCache>
                <c:ptCount val="1"/>
                <c:pt idx="0">
                  <c:v>desired response</c:v>
                </c:pt>
              </c:strCache>
            </c:strRef>
          </c:tx>
          <c:spPr>
            <a:noFill/>
            <a:ln w="12700">
              <a:solidFill>
                <a:srgbClr val="FF00FF"/>
              </a:solidFill>
              <a:prstDash val="solid"/>
            </a:ln>
            <a:effectLst/>
          </c:spPr>
          <c:marker>
            <c:symbol val="none"/>
          </c:marker>
          <c:val>
            <c:numRef>
              <c:f>'best fit'!$S$5:$S$35</c:f>
              <c:numCache>
                <c:formatCode>0.00</c:formatCode>
                <c:ptCount val="31"/>
                <c:pt idx="0">
                  <c:v>0.86</c:v>
                </c:pt>
                <c:pt idx="1">
                  <c:v>0.843666666666667</c:v>
                </c:pt>
                <c:pt idx="2">
                  <c:v>0.827333333333333</c:v>
                </c:pt>
                <c:pt idx="3">
                  <c:v>0.811</c:v>
                </c:pt>
                <c:pt idx="4">
                  <c:v>0.794666666666667</c:v>
                </c:pt>
                <c:pt idx="5">
                  <c:v>0.778333333333333</c:v>
                </c:pt>
                <c:pt idx="6">
                  <c:v>0.762</c:v>
                </c:pt>
                <c:pt idx="7">
                  <c:v>0.745666666666667</c:v>
                </c:pt>
                <c:pt idx="8">
                  <c:v>0.729333333333333</c:v>
                </c:pt>
                <c:pt idx="9">
                  <c:v>0.713</c:v>
                </c:pt>
                <c:pt idx="10">
                  <c:v>0.696666666666667</c:v>
                </c:pt>
                <c:pt idx="11">
                  <c:v>0.680333333333333</c:v>
                </c:pt>
                <c:pt idx="12">
                  <c:v>0.664</c:v>
                </c:pt>
                <c:pt idx="13">
                  <c:v>0.647666666666667</c:v>
                </c:pt>
                <c:pt idx="14">
                  <c:v>0.631333333333333</c:v>
                </c:pt>
                <c:pt idx="15">
                  <c:v>0.615</c:v>
                </c:pt>
                <c:pt idx="16">
                  <c:v>0.598666666666667</c:v>
                </c:pt>
                <c:pt idx="17">
                  <c:v>0.582333333333333</c:v>
                </c:pt>
                <c:pt idx="18">
                  <c:v>0.566</c:v>
                </c:pt>
                <c:pt idx="19">
                  <c:v>0.549666666666667</c:v>
                </c:pt>
                <c:pt idx="20">
                  <c:v>0.533333333333333</c:v>
                </c:pt>
                <c:pt idx="21">
                  <c:v>0.517</c:v>
                </c:pt>
                <c:pt idx="22">
                  <c:v>0.500666666666667</c:v>
                </c:pt>
                <c:pt idx="23">
                  <c:v>0.484333333333333</c:v>
                </c:pt>
                <c:pt idx="24">
                  <c:v>0.468</c:v>
                </c:pt>
                <c:pt idx="25">
                  <c:v>0.451666666666667</c:v>
                </c:pt>
                <c:pt idx="26">
                  <c:v>0.435333333333333</c:v>
                </c:pt>
                <c:pt idx="27">
                  <c:v>0.419</c:v>
                </c:pt>
                <c:pt idx="28">
                  <c:v>0.402666666666667</c:v>
                </c:pt>
                <c:pt idx="29">
                  <c:v>0.386333333333333</c:v>
                </c:pt>
                <c:pt idx="30">
                  <c:v>0.37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'best fit'!$Y$4</c:f>
              <c:strCache>
                <c:ptCount val="1"/>
                <c:pt idx="0">
                  <c:v>AA</c:v>
                </c:pt>
              </c:strCache>
            </c:strRef>
          </c:tx>
          <c:spPr>
            <a:noFill/>
            <a:ln w="12700">
              <a:solidFill>
                <a:srgbClr val="FF6600"/>
              </a:solidFill>
              <a:prstDash val="solid"/>
            </a:ln>
            <a:effectLst/>
          </c:spPr>
          <c:marker>
            <c:symbol val="none"/>
          </c:marker>
          <c:val>
            <c:numRef>
              <c:f>'best fit'!$X$5:$X$35</c:f>
              <c:numCache>
                <c:formatCode>0.00</c:formatCode>
                <c:ptCount val="31"/>
                <c:pt idx="0">
                  <c:v>0.858539680692669</c:v>
                </c:pt>
                <c:pt idx="1">
                  <c:v>0.844069338485537</c:v>
                </c:pt>
                <c:pt idx="2">
                  <c:v>0.828475706065165</c:v>
                </c:pt>
                <c:pt idx="3">
                  <c:v>0.811878786937306</c:v>
                </c:pt>
                <c:pt idx="4">
                  <c:v>0.795011186469821</c:v>
                </c:pt>
                <c:pt idx="5">
                  <c:v>0.777968400939313</c:v>
                </c:pt>
                <c:pt idx="6">
                  <c:v>0.761320499242381</c:v>
                </c:pt>
                <c:pt idx="7">
                  <c:v>0.744836988129136</c:v>
                </c:pt>
                <c:pt idx="8">
                  <c:v>0.728818684906353</c:v>
                </c:pt>
                <c:pt idx="9">
                  <c:v>0.712865058060129</c:v>
                </c:pt>
                <c:pt idx="10">
                  <c:v>0.697055338305951</c:v>
                </c:pt>
                <c:pt idx="11">
                  <c:v>0.680981290027014</c:v>
                </c:pt>
                <c:pt idx="12">
                  <c:v>0.66473745667413</c:v>
                </c:pt>
                <c:pt idx="13">
                  <c:v>0.648246846212224</c:v>
                </c:pt>
                <c:pt idx="14">
                  <c:v>0.631598301995203</c:v>
                </c:pt>
                <c:pt idx="15">
                  <c:v>0.614837775855571</c:v>
                </c:pt>
                <c:pt idx="16">
                  <c:v>0.598217714581751</c:v>
                </c:pt>
                <c:pt idx="17">
                  <c:v>0.581644599159331</c:v>
                </c:pt>
                <c:pt idx="18">
                  <c:v>0.565292564344097</c:v>
                </c:pt>
                <c:pt idx="19">
                  <c:v>0.549015542809017</c:v>
                </c:pt>
                <c:pt idx="20">
                  <c:v>0.532929525589957</c:v>
                </c:pt>
                <c:pt idx="21">
                  <c:v>0.516854907048198</c:v>
                </c:pt>
                <c:pt idx="22">
                  <c:v>0.500875259710926</c:v>
                </c:pt>
                <c:pt idx="23">
                  <c:v>0.484788326146273</c:v>
                </c:pt>
                <c:pt idx="24">
                  <c:v>0.46865112327295</c:v>
                </c:pt>
                <c:pt idx="25">
                  <c:v>0.45238926643964</c:v>
                </c:pt>
                <c:pt idx="26">
                  <c:v>0.435949481190455</c:v>
                </c:pt>
                <c:pt idx="27">
                  <c:v>0.419358381276927</c:v>
                </c:pt>
                <c:pt idx="28">
                  <c:v>0.402701471849496</c:v>
                </c:pt>
                <c:pt idx="29">
                  <c:v>0.385971551883389</c:v>
                </c:pt>
                <c:pt idx="30">
                  <c:v>0.369273208672801</c:v>
                </c:pt>
              </c:numCache>
            </c:numRef>
          </c: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28463616"/>
        <c:axId val="128465536"/>
      </c:lineChart>
      <c:catAx>
        <c:axId val="128463616"/>
        <c:scaling>
          <c:orientation val="minMax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77605260279966"/>
              <c:y val="0.860294001711325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465536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28465536"/>
        <c:scaling>
          <c:orientation val="minMax"/>
          <c:max val="1"/>
          <c:min val="0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4636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Calculated vs Real Temp</a:t>
            </a:r>
          </a:p>
        </c:rich>
      </c:tx>
      <c:layout>
        <c:manualLayout>
          <c:xMode val="edge"/>
          <c:yMode val="edge"/>
          <c:x val="0.289063230732522"/>
          <c:y val="0.03676463518983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2857324037799"/>
          <c:y val="0.208791955671774"/>
          <c:w val="0.789611391045291"/>
          <c:h val="0.538463464627205"/>
        </c:manualLayout>
      </c:layout>
      <c:lineChart>
        <c:grouping val="standard"/>
        <c:varyColors val="0"/>
        <c:ser>
          <c:idx val="0"/>
          <c:order val="0"/>
          <c:tx>
            <c:strRef>
              <c:f>Digital!$C$4</c:f>
              <c:strCache>
                <c:ptCount val="1"/>
                <c:pt idx="0">
                  <c:v>Temperature</c:v>
                </c:pt>
              </c:strCache>
            </c:strRef>
          </c:tx>
          <c:spPr>
            <a:noFill/>
            <a:ln w="12700">
              <a:solidFill>
                <a:srgbClr val="000080"/>
              </a:solidFill>
              <a:prstDash val="solid"/>
            </a:ln>
            <a:effectLst/>
          </c:spPr>
          <c:marker>
            <c:symbol val="none"/>
          </c:marker>
          <c:cat>
            <c:numRef>
              <c:f>Digital!$C$5:$C$35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cat>
          <c:val>
            <c:numRef>
              <c:f>Digital!$C$5:$C$35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Digital!$AD$4</c:f>
              <c:strCache>
                <c:ptCount val="1"/>
                <c:pt idx="0">
                  <c:v>calculated value</c:v>
                </c:pt>
              </c:strCache>
            </c:strRef>
          </c:tx>
          <c:spPr>
            <a:noFill/>
            <a:ln w="12700">
              <a:solidFill>
                <a:srgbClr val="FF00FF"/>
              </a:solidFill>
              <a:prstDash val="solid"/>
            </a:ln>
            <a:effectLst/>
          </c:spPr>
          <c:marker>
            <c:symbol val="none"/>
          </c:marker>
          <c:val>
            <c:numRef>
              <c:f>Digital!$AD$5:$AD$35</c:f>
              <c:numCache>
                <c:formatCode>0.0</c:formatCode>
                <c:ptCount val="31"/>
                <c:pt idx="0">
                  <c:v>-39.4</c:v>
                </c:pt>
                <c:pt idx="1">
                  <c:v>-35</c:v>
                </c:pt>
                <c:pt idx="2">
                  <c:v>-30.2</c:v>
                </c:pt>
                <c:pt idx="3">
                  <c:v>-25.1</c:v>
                </c:pt>
                <c:pt idx="4">
                  <c:v>-20</c:v>
                </c:pt>
                <c:pt idx="5">
                  <c:v>-14.8</c:v>
                </c:pt>
                <c:pt idx="6">
                  <c:v>-9.7</c:v>
                </c:pt>
                <c:pt idx="7">
                  <c:v>-4.6</c:v>
                </c:pt>
                <c:pt idx="8">
                  <c:v>0.3</c:v>
                </c:pt>
                <c:pt idx="9">
                  <c:v>5.1</c:v>
                </c:pt>
                <c:pt idx="10">
                  <c:v>10</c:v>
                </c:pt>
                <c:pt idx="11">
                  <c:v>14.9</c:v>
                </c:pt>
                <c:pt idx="12">
                  <c:v>19.9</c:v>
                </c:pt>
                <c:pt idx="13">
                  <c:v>24.9</c:v>
                </c:pt>
                <c:pt idx="14">
                  <c:v>30</c:v>
                </c:pt>
                <c:pt idx="15">
                  <c:v>35.2</c:v>
                </c:pt>
                <c:pt idx="16">
                  <c:v>40.3</c:v>
                </c:pt>
                <c:pt idx="17">
                  <c:v>45.3</c:v>
                </c:pt>
                <c:pt idx="18">
                  <c:v>50.3</c:v>
                </c:pt>
                <c:pt idx="19">
                  <c:v>55.3</c:v>
                </c:pt>
                <c:pt idx="20">
                  <c:v>60.2</c:v>
                </c:pt>
                <c:pt idx="21">
                  <c:v>65.2</c:v>
                </c:pt>
                <c:pt idx="22">
                  <c:v>70.1</c:v>
                </c:pt>
                <c:pt idx="23">
                  <c:v>75</c:v>
                </c:pt>
                <c:pt idx="24">
                  <c:v>79.9</c:v>
                </c:pt>
                <c:pt idx="25">
                  <c:v>84.9</c:v>
                </c:pt>
                <c:pt idx="26">
                  <c:v>89.9</c:v>
                </c:pt>
                <c:pt idx="27">
                  <c:v>95</c:v>
                </c:pt>
                <c:pt idx="28">
                  <c:v>100.1</c:v>
                </c:pt>
                <c:pt idx="29">
                  <c:v>105.2</c:v>
                </c:pt>
                <c:pt idx="30">
                  <c:v>110.3</c:v>
                </c:pt>
              </c:numCache>
            </c:numRef>
          </c: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28474496"/>
        <c:axId val="128480768"/>
      </c:lineChart>
      <c:catAx>
        <c:axId val="128474496"/>
        <c:scaling>
          <c:orientation val="minMax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95834338889458"/>
              <c:y val="0.860294001711325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none"/>
        <c:minorTickMark val="none"/>
        <c:tickLblPos val="low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48076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28480768"/>
        <c:scaling>
          <c:orientation val="minMax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4744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Gas Gauge Temperature Tolerance
(uncalibrated)</a:t>
            </a:r>
          </a:p>
        </c:rich>
      </c:tx>
      <c:layout>
        <c:manualLayout>
          <c:xMode val="edge"/>
          <c:yMode val="edge"/>
          <c:x val="0.203125609298838"/>
          <c:y val="0.036630074525355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28571718460479"/>
          <c:y val="0.259124549363718"/>
          <c:w val="0.703896996622612"/>
          <c:h val="0.489051966404765"/>
        </c:manualLayout>
      </c:layout>
      <c:scatterChart>
        <c:scatterStyle val="line"/>
        <c:varyColors val="0"/>
        <c:ser>
          <c:idx val="1"/>
          <c:order val="0"/>
          <c:tx>
            <c:strRef>
              <c:f>Digital!$AH$4</c:f>
              <c:strCache>
                <c:ptCount val="1"/>
                <c:pt idx="0">
                  <c:v>Error nom</c:v>
                </c:pt>
              </c:strCache>
            </c:strRef>
          </c:tx>
          <c:spPr>
            <a:noFill/>
            <a:ln w="25400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Digital!$AH$5:$AH$40</c:f>
              <c:numCache>
                <c:formatCode>0.0</c:formatCode>
                <c:ptCount val="36"/>
                <c:pt idx="0">
                  <c:v>0.600000000000001</c:v>
                </c:pt>
                <c:pt idx="1">
                  <c:v>0</c:v>
                </c:pt>
                <c:pt idx="2">
                  <c:v>-0.199999999999999</c:v>
                </c:pt>
                <c:pt idx="3">
                  <c:v>-0.100000000000001</c:v>
                </c:pt>
                <c:pt idx="4">
                  <c:v>0</c:v>
                </c:pt>
                <c:pt idx="5">
                  <c:v>0.199999999999999</c:v>
                </c:pt>
                <c:pt idx="6">
                  <c:v>0.300000000000001</c:v>
                </c:pt>
                <c:pt idx="7">
                  <c:v>0.4</c:v>
                </c:pt>
                <c:pt idx="8">
                  <c:v>0.3</c:v>
                </c:pt>
                <c:pt idx="9">
                  <c:v>0.0999999999999996</c:v>
                </c:pt>
                <c:pt idx="10">
                  <c:v>0</c:v>
                </c:pt>
                <c:pt idx="11">
                  <c:v>-0.0999999999999996</c:v>
                </c:pt>
                <c:pt idx="12">
                  <c:v>-0.100000000000001</c:v>
                </c:pt>
                <c:pt idx="13">
                  <c:v>-0.100000000000001</c:v>
                </c:pt>
                <c:pt idx="14">
                  <c:v>0</c:v>
                </c:pt>
                <c:pt idx="15">
                  <c:v>0.200000000000003</c:v>
                </c:pt>
                <c:pt idx="16">
                  <c:v>0.299999999999997</c:v>
                </c:pt>
                <c:pt idx="17">
                  <c:v>0.299999999999997</c:v>
                </c:pt>
                <c:pt idx="18">
                  <c:v>0.299999999999997</c:v>
                </c:pt>
                <c:pt idx="19">
                  <c:v>0.299999999999997</c:v>
                </c:pt>
                <c:pt idx="20">
                  <c:v>0.200000000000003</c:v>
                </c:pt>
                <c:pt idx="21">
                  <c:v>0.200000000000003</c:v>
                </c:pt>
                <c:pt idx="22">
                  <c:v>0.0999999999999943</c:v>
                </c:pt>
                <c:pt idx="23">
                  <c:v>0</c:v>
                </c:pt>
                <c:pt idx="24">
                  <c:v>-0.0999999999999943</c:v>
                </c:pt>
                <c:pt idx="25">
                  <c:v>-0.0999999999999943</c:v>
                </c:pt>
                <c:pt idx="26">
                  <c:v>-0.0999999999999943</c:v>
                </c:pt>
                <c:pt idx="27">
                  <c:v>0</c:v>
                </c:pt>
                <c:pt idx="28">
                  <c:v>0.0999999999999943</c:v>
                </c:pt>
                <c:pt idx="29">
                  <c:v>0.200000000000003</c:v>
                </c:pt>
                <c:pt idx="30">
                  <c:v>0.299999999999997</c:v>
                </c:pt>
                <c:pt idx="31">
                  <c:v>107.4</c:v>
                </c:pt>
                <c:pt idx="32">
                  <c:v>222.4</c:v>
                </c:pt>
                <c:pt idx="33">
                  <c:v>222.4</c:v>
                </c:pt>
                <c:pt idx="34">
                  <c:v>222.4</c:v>
                </c:pt>
                <c:pt idx="35">
                  <c:v>222.4</c:v>
                </c:pt>
              </c:numCache>
            </c:numRef>
          </c:yVal>
          <c:smooth val="0"/>
        </c:ser>
        <c:ser>
          <c:idx val="4"/>
          <c:order val="1"/>
          <c:tx>
            <c:strRef>
              <c:f>Digital!$AK$4</c:f>
              <c:strCache>
                <c:ptCount val="1"/>
                <c:pt idx="0">
                  <c:v>Error min</c:v>
                </c:pt>
              </c:strCache>
            </c:strRef>
          </c:tx>
          <c:spPr>
            <a:noFill/>
            <a:ln w="3175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Digital!$AK$5:$AK$40</c:f>
              <c:numCache>
                <c:formatCode>0.00</c:formatCode>
                <c:ptCount val="36"/>
                <c:pt idx="0">
                  <c:v>-0.200000000000003</c:v>
                </c:pt>
                <c:pt idx="1">
                  <c:v>-0.799999999999997</c:v>
                </c:pt>
                <c:pt idx="2">
                  <c:v>-1.1</c:v>
                </c:pt>
                <c:pt idx="3">
                  <c:v>-1</c:v>
                </c:pt>
                <c:pt idx="4">
                  <c:v>-0.800000000000001</c:v>
                </c:pt>
                <c:pt idx="5">
                  <c:v>-0.6</c:v>
                </c:pt>
                <c:pt idx="6">
                  <c:v>-0.4</c:v>
                </c:pt>
                <c:pt idx="7">
                  <c:v>-0.4</c:v>
                </c:pt>
                <c:pt idx="8">
                  <c:v>-0.4</c:v>
                </c:pt>
                <c:pt idx="9">
                  <c:v>-0.5</c:v>
                </c:pt>
                <c:pt idx="10">
                  <c:v>-0.6</c:v>
                </c:pt>
                <c:pt idx="11">
                  <c:v>-0.699999999999999</c:v>
                </c:pt>
                <c:pt idx="12">
                  <c:v>-0.699999999999999</c:v>
                </c:pt>
                <c:pt idx="13">
                  <c:v>-0.600000000000001</c:v>
                </c:pt>
                <c:pt idx="14">
                  <c:v>-0.600000000000001</c:v>
                </c:pt>
                <c:pt idx="15">
                  <c:v>-0.5</c:v>
                </c:pt>
                <c:pt idx="16">
                  <c:v>-0.5</c:v>
                </c:pt>
                <c:pt idx="17">
                  <c:v>-0.5</c:v>
                </c:pt>
                <c:pt idx="18">
                  <c:v>-0.5</c:v>
                </c:pt>
                <c:pt idx="19">
                  <c:v>-0.600000000000001</c:v>
                </c:pt>
                <c:pt idx="20">
                  <c:v>-0.799999999999997</c:v>
                </c:pt>
                <c:pt idx="21">
                  <c:v>-0.900000000000006</c:v>
                </c:pt>
                <c:pt idx="22">
                  <c:v>-1.09999999999999</c:v>
                </c:pt>
                <c:pt idx="23">
                  <c:v>-1.2</c:v>
                </c:pt>
                <c:pt idx="24">
                  <c:v>-1.40000000000001</c:v>
                </c:pt>
                <c:pt idx="25">
                  <c:v>-1.5</c:v>
                </c:pt>
                <c:pt idx="26">
                  <c:v>-1.59999999999999</c:v>
                </c:pt>
                <c:pt idx="27">
                  <c:v>-1.59999999999999</c:v>
                </c:pt>
                <c:pt idx="28">
                  <c:v>-1.59999999999999</c:v>
                </c:pt>
                <c:pt idx="29">
                  <c:v>-1.59999999999999</c:v>
                </c:pt>
                <c:pt idx="30">
                  <c:v>-1.59999999999999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Digital!$AL$4</c:f>
              <c:strCache>
                <c:ptCount val="1"/>
                <c:pt idx="0">
                  <c:v>Error max</c:v>
                </c:pt>
              </c:strCache>
            </c:strRef>
          </c:tx>
          <c:spPr>
            <a:noFill/>
            <a:ln w="3175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Digital!$AL$5:$AL$40</c:f>
              <c:numCache>
                <c:formatCode>0.00</c:formatCode>
                <c:ptCount val="36"/>
                <c:pt idx="0">
                  <c:v>1.3</c:v>
                </c:pt>
                <c:pt idx="1">
                  <c:v>0.799999999999997</c:v>
                </c:pt>
                <c:pt idx="2">
                  <c:v>0.600000000000001</c:v>
                </c:pt>
                <c:pt idx="3">
                  <c:v>0.699999999999999</c:v>
                </c:pt>
                <c:pt idx="4">
                  <c:v>0.899999999999999</c:v>
                </c:pt>
                <c:pt idx="5">
                  <c:v>1</c:v>
                </c:pt>
                <c:pt idx="6">
                  <c:v>1.1</c:v>
                </c:pt>
                <c:pt idx="7">
                  <c:v>1.1</c:v>
                </c:pt>
                <c:pt idx="8">
                  <c:v>0.9</c:v>
                </c:pt>
                <c:pt idx="9">
                  <c:v>0.8</c:v>
                </c:pt>
                <c:pt idx="10">
                  <c:v>0.6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0.699999999999999</c:v>
                </c:pt>
                <c:pt idx="15">
                  <c:v>0.899999999999999</c:v>
                </c:pt>
                <c:pt idx="16">
                  <c:v>1</c:v>
                </c:pt>
                <c:pt idx="17">
                  <c:v>1.1</c:v>
                </c:pt>
                <c:pt idx="18">
                  <c:v>1.2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1.2</c:v>
                </c:pt>
                <c:pt idx="23">
                  <c:v>1.2</c:v>
                </c:pt>
                <c:pt idx="24">
                  <c:v>1.3</c:v>
                </c:pt>
                <c:pt idx="25">
                  <c:v>1.3</c:v>
                </c:pt>
                <c:pt idx="26">
                  <c:v>1.5</c:v>
                </c:pt>
                <c:pt idx="27">
                  <c:v>1.59999999999999</c:v>
                </c:pt>
                <c:pt idx="28">
                  <c:v>1.8</c:v>
                </c:pt>
                <c:pt idx="29">
                  <c:v>2.09999999999999</c:v>
                </c:pt>
                <c:pt idx="30">
                  <c:v>2.2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28494592"/>
        <c:axId val="128496768"/>
      </c:scatterChart>
      <c:valAx>
        <c:axId val="128494592"/>
        <c:scaling>
          <c:orientation val="minMax"/>
          <c:max val="120"/>
          <c:min val="-40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24480212700686"/>
              <c:y val="0.860808858746672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496768"/>
        <c:crossesAt val="-10"/>
        <c:crossBetween val="midCat"/>
        <c:majorUnit val="20"/>
      </c:valAx>
      <c:valAx>
        <c:axId val="128496768"/>
        <c:scaling>
          <c:orientation val="minMax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0.0416667007533149"/>
              <c:y val="0.32967143705577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0.0" sourceLinked="0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</a:p>
        </c:txPr>
        <c:crossAx val="128494592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Gas Gauge Temperature Tolerance</a:t>
            </a:r>
            <a:endParaRPr lang="en-US" sz="10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ctr"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(calibrated @ 25°C)</a:t>
            </a:r>
          </a:p>
        </c:rich>
      </c:tx>
      <c:layout>
        <c:manualLayout>
          <c:xMode val="edge"/>
          <c:yMode val="edge"/>
          <c:x val="0.203125557581164"/>
          <c:y val="0.036630074525355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16749029148983"/>
          <c:y val="0.262774190904053"/>
          <c:w val="0.716749630481296"/>
          <c:h val="0.485402324864431"/>
        </c:manualLayout>
      </c:layout>
      <c:scatterChart>
        <c:scatterStyle val="line"/>
        <c:varyColors val="0"/>
        <c:ser>
          <c:idx val="1"/>
          <c:order val="0"/>
          <c:tx>
            <c:strRef>
              <c:f>Digital!$AR$4</c:f>
              <c:strCache>
                <c:ptCount val="1"/>
                <c:pt idx="0">
                  <c:v>Error nom</c:v>
                </c:pt>
              </c:strCache>
            </c:strRef>
          </c:tx>
          <c:spPr>
            <a:noFill/>
            <a:ln w="25400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Digital!$AR$5:$AR$35</c:f>
              <c:numCache>
                <c:formatCode>0.0</c:formatCode>
                <c:ptCount val="31"/>
                <c:pt idx="0">
                  <c:v>0.700000000000003</c:v>
                </c:pt>
                <c:pt idx="1">
                  <c:v>0.100000000000001</c:v>
                </c:pt>
                <c:pt idx="2">
                  <c:v>-0.0999999999999979</c:v>
                </c:pt>
                <c:pt idx="3">
                  <c:v>0</c:v>
                </c:pt>
                <c:pt idx="4">
                  <c:v>0.100000000000001</c:v>
                </c:pt>
                <c:pt idx="5">
                  <c:v>0.300000000000001</c:v>
                </c:pt>
                <c:pt idx="6">
                  <c:v>0.400000000000002</c:v>
                </c:pt>
                <c:pt idx="7">
                  <c:v>0.500000000000002</c:v>
                </c:pt>
                <c:pt idx="8">
                  <c:v>0.400000000000001</c:v>
                </c:pt>
                <c:pt idx="9">
                  <c:v>0.200000000000001</c:v>
                </c:pt>
                <c:pt idx="10">
                  <c:v>0.100000000000001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0.100000000000001</c:v>
                </c:pt>
                <c:pt idx="15">
                  <c:v>0.300000000000004</c:v>
                </c:pt>
                <c:pt idx="16">
                  <c:v>0.399999999999999</c:v>
                </c:pt>
                <c:pt idx="17">
                  <c:v>0.399999999999999</c:v>
                </c:pt>
                <c:pt idx="18">
                  <c:v>0.399999999999999</c:v>
                </c:pt>
                <c:pt idx="19">
                  <c:v>0.399999999999999</c:v>
                </c:pt>
                <c:pt idx="20">
                  <c:v>0.300000000000004</c:v>
                </c:pt>
                <c:pt idx="21">
                  <c:v>0.300000000000011</c:v>
                </c:pt>
                <c:pt idx="22">
                  <c:v>0.199999999999989</c:v>
                </c:pt>
                <c:pt idx="23">
                  <c:v>0.0999999999999943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0.0999999999999943</c:v>
                </c:pt>
                <c:pt idx="28">
                  <c:v>0.199999999999989</c:v>
                </c:pt>
                <c:pt idx="29">
                  <c:v>0.300000000000011</c:v>
                </c:pt>
                <c:pt idx="30">
                  <c:v>0.400000000000006</c:v>
                </c:pt>
              </c:numCache>
            </c:numRef>
          </c:yVal>
          <c:smooth val="0"/>
        </c:ser>
        <c:ser>
          <c:idx val="4"/>
          <c:order val="1"/>
          <c:tx>
            <c:strRef>
              <c:f>Digital!$AU$4</c:f>
              <c:strCache>
                <c:ptCount val="1"/>
                <c:pt idx="0">
                  <c:v>Error min</c:v>
                </c:pt>
              </c:strCache>
            </c:strRef>
          </c:tx>
          <c:spPr>
            <a:noFill/>
            <a:ln w="3175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Digital!$AU$5:$AU$35</c:f>
              <c:numCache>
                <c:formatCode>0.00</c:formatCode>
                <c:ptCount val="31"/>
                <c:pt idx="0">
                  <c:v>0.399999999999999</c:v>
                </c:pt>
                <c:pt idx="1">
                  <c:v>-0.199999999999996</c:v>
                </c:pt>
                <c:pt idx="2">
                  <c:v>-0.5</c:v>
                </c:pt>
                <c:pt idx="3">
                  <c:v>-0.399999999999999</c:v>
                </c:pt>
                <c:pt idx="4">
                  <c:v>-0.199999999999999</c:v>
                </c:pt>
                <c:pt idx="5">
                  <c:v>0</c:v>
                </c:pt>
                <c:pt idx="6">
                  <c:v>0.200000000000001</c:v>
                </c:pt>
                <c:pt idx="7">
                  <c:v>0.200000000000001</c:v>
                </c:pt>
                <c:pt idx="8">
                  <c:v>0.200000000000001</c:v>
                </c:pt>
                <c:pt idx="9">
                  <c:v>0.100000000000001</c:v>
                </c:pt>
                <c:pt idx="10">
                  <c:v>0</c:v>
                </c:pt>
                <c:pt idx="11">
                  <c:v>-0.0999999999999979</c:v>
                </c:pt>
                <c:pt idx="12">
                  <c:v>-0.0999999999999979</c:v>
                </c:pt>
                <c:pt idx="13">
                  <c:v>0</c:v>
                </c:pt>
                <c:pt idx="14">
                  <c:v>0</c:v>
                </c:pt>
                <c:pt idx="15">
                  <c:v>0.100000000000001</c:v>
                </c:pt>
                <c:pt idx="16">
                  <c:v>0.100000000000001</c:v>
                </c:pt>
                <c:pt idx="17">
                  <c:v>0.100000000000001</c:v>
                </c:pt>
                <c:pt idx="18">
                  <c:v>0.100000000000001</c:v>
                </c:pt>
                <c:pt idx="19">
                  <c:v>0</c:v>
                </c:pt>
                <c:pt idx="20">
                  <c:v>-0.199999999999996</c:v>
                </c:pt>
                <c:pt idx="21">
                  <c:v>-0.300000000000011</c:v>
                </c:pt>
                <c:pt idx="22">
                  <c:v>-0.5</c:v>
                </c:pt>
                <c:pt idx="23">
                  <c:v>-0.599999999999994</c:v>
                </c:pt>
                <c:pt idx="24">
                  <c:v>-0.800000000000011</c:v>
                </c:pt>
                <c:pt idx="25">
                  <c:v>-0.900000000000006</c:v>
                </c:pt>
                <c:pt idx="26">
                  <c:v>-1</c:v>
                </c:pt>
                <c:pt idx="27">
                  <c:v>-1</c:v>
                </c:pt>
                <c:pt idx="28">
                  <c:v>-1</c:v>
                </c:pt>
                <c:pt idx="29">
                  <c:v>-1</c:v>
                </c:pt>
                <c:pt idx="30">
                  <c:v>-1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Digital!$AV$4</c:f>
              <c:strCache>
                <c:ptCount val="1"/>
                <c:pt idx="0">
                  <c:v>Error max</c:v>
                </c:pt>
              </c:strCache>
            </c:strRef>
          </c:tx>
          <c:spPr>
            <a:noFill/>
            <a:ln w="3175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Digital!$AV$5:$AV$35</c:f>
              <c:numCache>
                <c:formatCode>0.00</c:formatCode>
                <c:ptCount val="31"/>
                <c:pt idx="0">
                  <c:v>0.799999999999997</c:v>
                </c:pt>
                <c:pt idx="1">
                  <c:v>0.299999999999997</c:v>
                </c:pt>
                <c:pt idx="2">
                  <c:v>0.100000000000001</c:v>
                </c:pt>
                <c:pt idx="3">
                  <c:v>0.199999999999999</c:v>
                </c:pt>
                <c:pt idx="4">
                  <c:v>0.399999999999999</c:v>
                </c:pt>
                <c:pt idx="5">
                  <c:v>0.5</c:v>
                </c:pt>
                <c:pt idx="6">
                  <c:v>0.6</c:v>
                </c:pt>
                <c:pt idx="7">
                  <c:v>0.6</c:v>
                </c:pt>
                <c:pt idx="8">
                  <c:v>0.4</c:v>
                </c:pt>
                <c:pt idx="9">
                  <c:v>0.3</c:v>
                </c:pt>
                <c:pt idx="10">
                  <c:v>0.0999999999999996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0.199999999999999</c:v>
                </c:pt>
                <c:pt idx="15">
                  <c:v>0.399999999999999</c:v>
                </c:pt>
                <c:pt idx="16">
                  <c:v>0.5</c:v>
                </c:pt>
                <c:pt idx="17">
                  <c:v>0.600000000000001</c:v>
                </c:pt>
                <c:pt idx="18">
                  <c:v>0.700000000000003</c:v>
                </c:pt>
                <c:pt idx="19">
                  <c:v>0.799999999999997</c:v>
                </c:pt>
                <c:pt idx="20">
                  <c:v>0.799999999999997</c:v>
                </c:pt>
                <c:pt idx="21">
                  <c:v>0.799999999999997</c:v>
                </c:pt>
                <c:pt idx="22">
                  <c:v>0.700000000000003</c:v>
                </c:pt>
                <c:pt idx="23">
                  <c:v>0.700000000000003</c:v>
                </c:pt>
                <c:pt idx="24">
                  <c:v>0.799999999999997</c:v>
                </c:pt>
                <c:pt idx="25">
                  <c:v>0.799999999999997</c:v>
                </c:pt>
                <c:pt idx="26">
                  <c:v>1</c:v>
                </c:pt>
                <c:pt idx="27">
                  <c:v>1.09999999999999</c:v>
                </c:pt>
                <c:pt idx="28">
                  <c:v>1.3</c:v>
                </c:pt>
                <c:pt idx="29">
                  <c:v>1.59999999999999</c:v>
                </c:pt>
                <c:pt idx="30">
                  <c:v>1.7</c:v>
                </c:pt>
              </c:numCache>
            </c:numRef>
          </c:y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28529152"/>
        <c:axId val="128531072"/>
      </c:scatterChart>
      <c:valAx>
        <c:axId val="128529152"/>
        <c:scaling>
          <c:orientation val="minMax"/>
          <c:max val="120"/>
          <c:min val="-40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24480302031212"/>
              <c:y val="0.860808858746672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531072"/>
        <c:crossesAt val="-10"/>
        <c:crossBetween val="midCat"/>
        <c:majorUnit val="20"/>
      </c:valAx>
      <c:valAx>
        <c:axId val="128531072"/>
        <c:scaling>
          <c:orientation val="minMax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0.0416666020195751"/>
              <c:y val="0.32967143705577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0.0" sourceLinked="0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</a:p>
        </c:txPr>
        <c:crossAx val="128529152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Overflow="ellipsis" anchor="ctr" anchorCtr="1"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Thermistor Temp. Error</a:t>
            </a:r>
          </a:p>
        </c:rich>
      </c:tx>
      <c:layout>
        <c:manualLayout>
          <c:xMode val="edge"/>
          <c:yMode val="edge"/>
          <c:x val="0.30468845144357"/>
          <c:y val="0.036764777096589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97500241089162"/>
          <c:y val="0.214022525842016"/>
          <c:w val="0.535000653076969"/>
          <c:h val="0.546126445252042"/>
        </c:manualLayout>
      </c:layout>
      <c:scatterChart>
        <c:scatterStyle val="line"/>
        <c:varyColors val="0"/>
        <c:ser>
          <c:idx val="0"/>
          <c:order val="0"/>
          <c:tx>
            <c:strRef>
              <c:f>Thermistor!$W$4</c:f>
              <c:strCache>
                <c:ptCount val="1"/>
                <c:pt idx="0">
                  <c:v>Min Err</c:v>
                </c:pt>
              </c:strCache>
            </c:strRef>
          </c:tx>
          <c:spPr>
            <a:noFill/>
            <a:ln w="25400">
              <a:solidFill>
                <a:srgbClr val="00000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Thermistor!$W$5:$W$35</c:f>
              <c:numCache>
                <c:formatCode>0.00%</c:formatCode>
                <c:ptCount val="31"/>
                <c:pt idx="0">
                  <c:v>-0.038648781611781</c:v>
                </c:pt>
                <c:pt idx="1">
                  <c:v>-0.0360632127884407</c:v>
                </c:pt>
                <c:pt idx="2">
                  <c:v>-0.0335703559064552</c:v>
                </c:pt>
                <c:pt idx="3">
                  <c:v>-0.0311232162226945</c:v>
                </c:pt>
                <c:pt idx="4">
                  <c:v>-0.0287638924807286</c:v>
                </c:pt>
                <c:pt idx="5">
                  <c:v>-0.0264484135469663</c:v>
                </c:pt>
                <c:pt idx="6">
                  <c:v>-0.0242144737061226</c:v>
                </c:pt>
                <c:pt idx="7">
                  <c:v>-0.0220127394624896</c:v>
                </c:pt>
                <c:pt idx="8">
                  <c:v>-0.0198856429453848</c:v>
                </c:pt>
                <c:pt idx="9">
                  <c:v>-0.0177973338788123</c:v>
                </c:pt>
                <c:pt idx="10">
                  <c:v>-0.0157801238823116</c:v>
                </c:pt>
                <c:pt idx="11">
                  <c:v>-0.0138000489483666</c:v>
                </c:pt>
                <c:pt idx="12">
                  <c:v>-0.0118771744174866</c:v>
                </c:pt>
                <c:pt idx="13">
                  <c:v>-0.01</c:v>
                </c:pt>
                <c:pt idx="14">
                  <c:v>-0.0118274801430941</c:v>
                </c:pt>
                <c:pt idx="15">
                  <c:v>-0.0136097080085544</c:v>
                </c:pt>
                <c:pt idx="16">
                  <c:v>-0.0153324070992173</c:v>
                </c:pt>
                <c:pt idx="17">
                  <c:v>-0.0170149926782409</c:v>
                </c:pt>
                <c:pt idx="18">
                  <c:v>-0.0186450263001614</c:v>
                </c:pt>
                <c:pt idx="19">
                  <c:v>-0.0202386186026615</c:v>
                </c:pt>
                <c:pt idx="20">
                  <c:v>-0.0217828692131727</c:v>
                </c:pt>
                <c:pt idx="21">
                  <c:v>-0.0232917922556842</c:v>
                </c:pt>
                <c:pt idx="22">
                  <c:v>-0.0247536210647541</c:v>
                </c:pt>
                <c:pt idx="23">
                  <c:v>-0.0261832388369048</c:v>
                </c:pt>
                <c:pt idx="24">
                  <c:v>-0.0275726724570912</c:v>
                </c:pt>
                <c:pt idx="25">
                  <c:v>-0.0289270230671478</c:v>
                </c:pt>
                <c:pt idx="26">
                  <c:v>-0.0302505730097463</c:v>
                </c:pt>
                <c:pt idx="27">
                  <c:v>-0.0315424433549617</c:v>
                </c:pt>
                <c:pt idx="28">
                  <c:v>-0.0327989277357869</c:v>
                </c:pt>
                <c:pt idx="29">
                  <c:v>-0.034024712057855</c:v>
                </c:pt>
                <c:pt idx="30">
                  <c:v>-0.0352171068573505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Thermistor!$X$4</c:f>
              <c:strCache>
                <c:ptCount val="1"/>
                <c:pt idx="0">
                  <c:v>Max Err</c:v>
                </c:pt>
              </c:strCache>
            </c:strRef>
          </c:tx>
          <c:spPr>
            <a:noFill/>
            <a:ln w="25400">
              <a:solidFill>
                <a:srgbClr val="00000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Thermistor!$X$5:$X$35</c:f>
              <c:numCache>
                <c:formatCode>0.00%</c:formatCode>
                <c:ptCount val="31"/>
                <c:pt idx="0">
                  <c:v>0.0400985413805484</c:v>
                </c:pt>
                <c:pt idx="1">
                  <c:v>0.0373086837908476</c:v>
                </c:pt>
                <c:pt idx="2">
                  <c:v>0.0346329979745688</c:v>
                </c:pt>
                <c:pt idx="3">
                  <c:v>0.0320197745906823</c:v>
                </c:pt>
                <c:pt idx="4">
                  <c:v>0.0295127953530705</c:v>
                </c:pt>
                <c:pt idx="5">
                  <c:v>0.0270642192089303</c:v>
                </c:pt>
                <c:pt idx="6">
                  <c:v>0.0247128831657419</c:v>
                </c:pt>
                <c:pt idx="7">
                  <c:v>0.022405955932848</c:v>
                </c:pt>
                <c:pt idx="8">
                  <c:v>0.0201870759294291</c:v>
                </c:pt>
                <c:pt idx="9">
                  <c:v>0.0180180063537201</c:v>
                </c:pt>
                <c:pt idx="10">
                  <c:v>0.0159315253255834</c:v>
                </c:pt>
                <c:pt idx="11">
                  <c:v>0.0138917558592024</c:v>
                </c:pt>
                <c:pt idx="12">
                  <c:v>0.0119187353156669</c:v>
                </c:pt>
                <c:pt idx="13">
                  <c:v>0.01</c:v>
                </c:pt>
                <c:pt idx="14">
                  <c:v>0.0118678468662461</c:v>
                </c:pt>
                <c:pt idx="15">
                  <c:v>0.0136961080398301</c:v>
                </c:pt>
                <c:pt idx="16">
                  <c:v>0.0154695931998161</c:v>
                </c:pt>
                <c:pt idx="17">
                  <c:v>0.0172077829796484</c:v>
                </c:pt>
                <c:pt idx="18">
                  <c:v>0.018897368227772</c:v>
                </c:pt>
                <c:pt idx="19">
                  <c:v>0.0205546156288989</c:v>
                </c:pt>
                <c:pt idx="20">
                  <c:v>0.0221657017964227</c:v>
                </c:pt>
                <c:pt idx="21">
                  <c:v>0.0237448524255213</c:v>
                </c:pt>
                <c:pt idx="22">
                  <c:v>0.0252793771884294</c:v>
                </c:pt>
                <c:pt idx="23">
                  <c:v>0.0267845449751261</c:v>
                </c:pt>
                <c:pt idx="24">
                  <c:v>0.0282516458340474</c:v>
                </c:pt>
                <c:pt idx="25">
                  <c:v>0.0296857432468136</c:v>
                </c:pt>
                <c:pt idx="26">
                  <c:v>0.0310910964941973</c:v>
                </c:pt>
                <c:pt idx="27">
                  <c:v>0.032466516616263</c:v>
                </c:pt>
                <c:pt idx="28">
                  <c:v>0.0338077868950653</c:v>
                </c:pt>
                <c:pt idx="29">
                  <c:v>0.0351196479675229</c:v>
                </c:pt>
                <c:pt idx="30">
                  <c:v>0.0363989733928234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Thermistor!$Z$4</c:f>
              <c:strCache>
                <c:ptCount val="1"/>
                <c:pt idx="0">
                  <c:v>Tol min</c:v>
                </c:pt>
              </c:strCache>
            </c:strRef>
          </c:tx>
          <c:spPr>
            <a:noFill/>
            <a:ln w="25400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Thermistor!$Z$5:$Z$35</c:f>
              <c:numCache>
                <c:formatCode>0.00</c:formatCode>
                <c:ptCount val="31"/>
                <c:pt idx="0">
                  <c:v>-0.724931747261166</c:v>
                </c:pt>
                <c:pt idx="1">
                  <c:v>-0.703237611194368</c:v>
                </c:pt>
                <c:pt idx="2">
                  <c:v>-0.639641626476532</c:v>
                </c:pt>
                <c:pt idx="3">
                  <c:v>-0.621876119545846</c:v>
                </c:pt>
                <c:pt idx="4">
                  <c:v>-0.558967981709714</c:v>
                </c:pt>
                <c:pt idx="5">
                  <c:v>-0.537562394775648</c:v>
                </c:pt>
                <c:pt idx="6">
                  <c:v>-0.471452933983869</c:v>
                </c:pt>
                <c:pt idx="7">
                  <c:v>-0.465223181239651</c:v>
                </c:pt>
                <c:pt idx="8">
                  <c:v>-0.41857515211359</c:v>
                </c:pt>
                <c:pt idx="9">
                  <c:v>-0.410113525423185</c:v>
                </c:pt>
                <c:pt idx="10">
                  <c:v>-0.357751679739806</c:v>
                </c:pt>
                <c:pt idx="11">
                  <c:v>-0.339856538268236</c:v>
                </c:pt>
                <c:pt idx="12">
                  <c:v>-0.302053252948667</c:v>
                </c:pt>
                <c:pt idx="13">
                  <c:v>-0.26907354775426</c:v>
                </c:pt>
                <c:pt idx="14">
                  <c:v>-0.33685545683511</c:v>
                </c:pt>
                <c:pt idx="15">
                  <c:v>-0.423507971494928</c:v>
                </c:pt>
                <c:pt idx="16">
                  <c:v>-0.48203235962211</c:v>
                </c:pt>
                <c:pt idx="17">
                  <c:v>-0.563476619179937</c:v>
                </c:pt>
                <c:pt idx="18">
                  <c:v>-0.624822142611549</c:v>
                </c:pt>
                <c:pt idx="19">
                  <c:v>-0.710798453597931</c:v>
                </c:pt>
                <c:pt idx="20">
                  <c:v>-0.775017885898762</c:v>
                </c:pt>
                <c:pt idx="21">
                  <c:v>-0.858074493825882</c:v>
                </c:pt>
                <c:pt idx="22">
                  <c:v>-0.914941444281283</c:v>
                </c:pt>
                <c:pt idx="23">
                  <c:v>-0.991855450132903</c:v>
                </c:pt>
                <c:pt idx="24">
                  <c:v>-1.05590955914232</c:v>
                </c:pt>
                <c:pt idx="25">
                  <c:v>-1.12043302703455</c:v>
                </c:pt>
                <c:pt idx="26">
                  <c:v>-1.19724540251957</c:v>
                </c:pt>
                <c:pt idx="27">
                  <c:v>-1.27902910679018</c:v>
                </c:pt>
                <c:pt idx="28">
                  <c:v>-1.34633711404587</c:v>
                </c:pt>
                <c:pt idx="29">
                  <c:v>-1.41309537560386</c:v>
                </c:pt>
                <c:pt idx="30">
                  <c:v>-1.46326076612399</c:v>
                </c:pt>
              </c:numCache>
            </c:numRef>
          </c:y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28546688"/>
        <c:axId val="128557056"/>
      </c:scatterChart>
      <c:scatterChart>
        <c:scatterStyle val="line"/>
        <c:varyColors val="0"/>
        <c:ser>
          <c:idx val="4"/>
          <c:order val="3"/>
          <c:tx>
            <c:strRef>
              <c:f>Thermistor!$AA$4</c:f>
              <c:strCache>
                <c:ptCount val="1"/>
                <c:pt idx="0">
                  <c:v>Tol max</c:v>
                </c:pt>
              </c:strCache>
            </c:strRef>
          </c:tx>
          <c:spPr>
            <a:noFill/>
            <a:ln w="25400">
              <a:solidFill>
                <a:srgbClr val="3366FF"/>
              </a:solidFill>
              <a:prstDash val="solid"/>
            </a:ln>
            <a:effectLst/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 c:formatCode="General">
                  <c:v>-40</c:v>
                </c:pt>
                <c:pt idx="1" c:formatCode="General">
                  <c:v>-35</c:v>
                </c:pt>
                <c:pt idx="2" c:formatCode="General">
                  <c:v>-30</c:v>
                </c:pt>
                <c:pt idx="3" c:formatCode="General">
                  <c:v>-25</c:v>
                </c:pt>
                <c:pt idx="4" c:formatCode="General">
                  <c:v>-20</c:v>
                </c:pt>
                <c:pt idx="5" c:formatCode="General">
                  <c:v>-15</c:v>
                </c:pt>
                <c:pt idx="6" c:formatCode="General">
                  <c:v>-10</c:v>
                </c:pt>
                <c:pt idx="7" c:formatCode="General">
                  <c:v>-5</c:v>
                </c:pt>
                <c:pt idx="8" c:formatCode="General">
                  <c:v>0</c:v>
                </c:pt>
                <c:pt idx="9" c:formatCode="General">
                  <c:v>5</c:v>
                </c:pt>
                <c:pt idx="10" c:formatCode="General">
                  <c:v>10</c:v>
                </c:pt>
                <c:pt idx="11" c:formatCode="General">
                  <c:v>15</c:v>
                </c:pt>
                <c:pt idx="12" c:formatCode="General">
                  <c:v>20</c:v>
                </c:pt>
                <c:pt idx="13" c:formatCode="General">
                  <c:v>25</c:v>
                </c:pt>
                <c:pt idx="14" c:formatCode="General">
                  <c:v>30</c:v>
                </c:pt>
                <c:pt idx="15" c:formatCode="General">
                  <c:v>35</c:v>
                </c:pt>
                <c:pt idx="16" c:formatCode="General">
                  <c:v>40</c:v>
                </c:pt>
                <c:pt idx="17" c:formatCode="General">
                  <c:v>45</c:v>
                </c:pt>
                <c:pt idx="18" c:formatCode="General">
                  <c:v>50</c:v>
                </c:pt>
                <c:pt idx="19" c:formatCode="General">
                  <c:v>55</c:v>
                </c:pt>
                <c:pt idx="20" c:formatCode="General">
                  <c:v>60</c:v>
                </c:pt>
                <c:pt idx="21" c:formatCode="General">
                  <c:v>65</c:v>
                </c:pt>
                <c:pt idx="22" c:formatCode="General">
                  <c:v>70</c:v>
                </c:pt>
                <c:pt idx="23" c:formatCode="General">
                  <c:v>75</c:v>
                </c:pt>
                <c:pt idx="24" c:formatCode="General">
                  <c:v>80</c:v>
                </c:pt>
                <c:pt idx="25" c:formatCode="General">
                  <c:v>85</c:v>
                </c:pt>
                <c:pt idx="26" c:formatCode="General">
                  <c:v>90</c:v>
                </c:pt>
                <c:pt idx="27" c:formatCode="General">
                  <c:v>95</c:v>
                </c:pt>
                <c:pt idx="28" c:formatCode="General">
                  <c:v>100</c:v>
                </c:pt>
                <c:pt idx="29" c:formatCode="General">
                  <c:v>105</c:v>
                </c:pt>
                <c:pt idx="30" c:formatCode="General">
                  <c:v>110</c:v>
                </c:pt>
              </c:numCache>
            </c:numRef>
          </c:xVal>
          <c:yVal>
            <c:numRef>
              <c:f>Thermistor!$AA$5:$AA$35</c:f>
              <c:numCache>
                <c:formatCode>0.00</c:formatCode>
                <c:ptCount val="31"/>
                <c:pt idx="0">
                  <c:v>0.719815193607218</c:v>
                </c:pt>
                <c:pt idx="1">
                  <c:v>0.685689701861349</c:v>
                </c:pt>
                <c:pt idx="2">
                  <c:v>0.691600141716862</c:v>
                </c:pt>
                <c:pt idx="3">
                  <c:v>0.648780431742551</c:v>
                </c:pt>
                <c:pt idx="4">
                  <c:v>0.649302331056504</c:v>
                </c:pt>
                <c:pt idx="5">
                  <c:v>0.605419921449084</c:v>
                </c:pt>
                <c:pt idx="6">
                  <c:v>0.604462942624025</c:v>
                </c:pt>
                <c:pt idx="7">
                  <c:v>0.540404670207465</c:v>
                </c:pt>
                <c:pt idx="8">
                  <c:v>0.514929388267092</c:v>
                </c:pt>
                <c:pt idx="9">
                  <c:v>0.448277332773216</c:v>
                </c:pt>
                <c:pt idx="10">
                  <c:v>0.423761921511016</c:v>
                </c:pt>
                <c:pt idx="11">
                  <c:v>0.361792258483717</c:v>
                </c:pt>
                <c:pt idx="12">
                  <c:v>0.31759051170053</c:v>
                </c:pt>
                <c:pt idx="13">
                  <c:v>0.266013534295723</c:v>
                </c:pt>
                <c:pt idx="14">
                  <c:v>0.314292157594821</c:v>
                </c:pt>
                <c:pt idx="15">
                  <c:v>0.347055739145674</c:v>
                </c:pt>
                <c:pt idx="16">
                  <c:v>0.410204130616478</c:v>
                </c:pt>
                <c:pt idx="17">
                  <c:v>0.453925067736236</c:v>
                </c:pt>
                <c:pt idx="18">
                  <c:v>0.520192130719977</c:v>
                </c:pt>
                <c:pt idx="19">
                  <c:v>0.565419562687282</c:v>
                </c:pt>
                <c:pt idx="20">
                  <c:v>0.634812624362155</c:v>
                </c:pt>
                <c:pt idx="21">
                  <c:v>0.688857263515104</c:v>
                </c:pt>
                <c:pt idx="22">
                  <c:v>0.771370549704045</c:v>
                </c:pt>
                <c:pt idx="23">
                  <c:v>0.837395683717546</c:v>
                </c:pt>
                <c:pt idx="24">
                  <c:v>0.918930134248455</c:v>
                </c:pt>
                <c:pt idx="25">
                  <c:v>1.00302710966866</c:v>
                </c:pt>
                <c:pt idx="26">
                  <c:v>1.07823534923153</c:v>
                </c:pt>
                <c:pt idx="27">
                  <c:v>1.15167856235428</c:v>
                </c:pt>
                <c:pt idx="28">
                  <c:v>1.24221055386948</c:v>
                </c:pt>
                <c:pt idx="29">
                  <c:v>1.33633458898862</c:v>
                </c:pt>
                <c:pt idx="30">
                  <c:v>1.44957750725837</c:v>
                </c:pt>
              </c:numCache>
            </c:numRef>
          </c:yVal>
          <c:smooth val="0"/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28558976"/>
        <c:axId val="128560512"/>
      </c:scatterChart>
      <c:valAx>
        <c:axId val="128546688"/>
        <c:scaling>
          <c:orientation val="minMax"/>
          <c:max val="120"/>
          <c:min val="-40"/>
        </c:scaling>
        <c:delete val="0"/>
        <c:axPos val="b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59375853018373"/>
              <c:y val="0.860294234438409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557056"/>
        <c:crossesAt val="0"/>
        <c:crossBetween val="midCat"/>
        <c:majorUnit val="20"/>
      </c:valAx>
      <c:valAx>
        <c:axId val="128557056"/>
        <c:scaling>
          <c:orientation val="minMax"/>
          <c:max val="0.05"/>
          <c:min val="0"/>
        </c:scaling>
        <c:delete val="0"/>
        <c:axPos val="l"/>
        <c:majorGridlines>
          <c:spPr>
            <a:noFill/>
            <a:ln w="3175">
              <a:solidFill>
                <a:srgbClr val="000000"/>
              </a:solidFill>
              <a:prstDash val="solid"/>
            </a:ln>
            <a:effectLst/>
          </c:spPr>
        </c:majorGridlines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Resistance Error</a:t>
                </a:r>
              </a:p>
            </c:rich>
          </c:tx>
          <c:layout>
            <c:manualLayout>
              <c:xMode val="edge"/>
              <c:yMode val="edge"/>
              <c:x val="0.0416666666666667"/>
              <c:y val="0.286764873947953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0.0%" sourceLinked="0"/>
        <c:majorTickMark val="out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28546688"/>
        <c:crossesAt val="-40"/>
        <c:crossBetween val="midCat"/>
      </c:valAx>
      <c:valAx>
        <c:axId val="128558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sz="550" b="0">
                <a:solidFill>
                  <a:srgbClr val="000000"/>
                </a:solidFill>
              </a:defRPr>
            </a:pPr>
          </a:p>
        </c:txPr>
        <c:crossAx val="128560512"/>
        <c:crosses val="autoZero"/>
        <c:crossBetween val="midCat"/>
      </c:valAx>
      <c:valAx>
        <c:axId val="128560512"/>
        <c:scaling>
          <c:orientation val="minMax"/>
          <c:max val="1.4"/>
        </c:scaling>
        <c:delete val="0"/>
        <c:axPos val="r"/>
        <c:title>
          <c:tx>
            <c:rich>
              <a:bodyPr vertOverflow="ellipsis" anchor="ctr" anchorCtr="1"/>
              <a:lstStyle/>
              <a:p>
                <a:pPr algn="ctr">
                  <a:defRPr sz="10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0.825001049868766"/>
              <c:y val="0.302583413235708"/>
            </c:manualLayout>
          </c:layout>
          <c:overlay val="0"/>
          <c:spPr>
            <a:noFill/>
            <a:ln w="25400">
              <a:noFill/>
            </a:ln>
            <a:effectLst/>
          </c:spPr>
        </c:title>
        <c:numFmt formatCode="0.00" sourceLinked="1"/>
        <c:majorTickMark val="cross"/>
        <c:min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sz="1000" b="1" i="0" u="none" strike="noStrike" baseline="0">
                <a:solidFill>
                  <a:srgbClr val="3366FF"/>
                </a:solidFill>
                <a:latin typeface="Arial"/>
                <a:ea typeface="Arial"/>
                <a:cs typeface="Arial"/>
              </a:defRPr>
            </a:pPr>
          </a:p>
        </c:txPr>
        <c:crossAx val="128558976"/>
        <c:crosses val="max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</a:p>
  </c:txPr>
  <c:printSettings>
    <c:headerFooter/>
    <c:pageMargins r="0.7" b="0.75" l="0.7" footer="0.3" header="0.3" t="0.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1.png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1</xdr:row>
      <xdr:rowOff>0</xdr:rowOff>
    </xdr:from>
    <xdr:to>
      <xdr:col>14</xdr:col>
      <xdr:colOff>0</xdr:colOff>
      <xdr:row>17</xdr:row>
      <xdr:rowOff>0</xdr:rowOff>
    </xdr:to>
    <xdr:graphicFrame>
      <xdr:nvGraphicFramePr>
        <xdr:cNvPr id="3442" name="Chart 1"/>
        <xdr:cNvGraphicFramePr/>
      </xdr:nvGraphicFramePr>
      <xdr:xfrm>
        <a:off x="4221480" y="190500"/>
        <a:ext cx="3703320" cy="2682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14</xdr:col>
      <xdr:colOff>0</xdr:colOff>
      <xdr:row>33</xdr:row>
      <xdr:rowOff>0</xdr:rowOff>
    </xdr:to>
    <xdr:graphicFrame>
      <xdr:nvGraphicFramePr>
        <xdr:cNvPr id="3443" name="Chart 5"/>
        <xdr:cNvGraphicFramePr/>
      </xdr:nvGraphicFramePr>
      <xdr:xfrm>
        <a:off x="4221480" y="2872740"/>
        <a:ext cx="3703320" cy="26917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17</xdr:row>
      <xdr:rowOff>0</xdr:rowOff>
    </xdr:from>
    <xdr:to>
      <xdr:col>20</xdr:col>
      <xdr:colOff>0</xdr:colOff>
      <xdr:row>33</xdr:row>
      <xdr:rowOff>0</xdr:rowOff>
    </xdr:to>
    <xdr:graphicFrame>
      <xdr:nvGraphicFramePr>
        <xdr:cNvPr id="3444" name="Chart 8"/>
        <xdr:cNvGraphicFramePr/>
      </xdr:nvGraphicFramePr>
      <xdr:xfrm>
        <a:off x="7924800" y="2872740"/>
        <a:ext cx="3723005" cy="26917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14</xdr:col>
      <xdr:colOff>9525</xdr:colOff>
      <xdr:row>33</xdr:row>
      <xdr:rowOff>9525</xdr:rowOff>
    </xdr:to>
    <xdr:graphicFrame>
      <xdr:nvGraphicFramePr>
        <xdr:cNvPr id="3445" name="Chart 67"/>
        <xdr:cNvGraphicFramePr/>
      </xdr:nvGraphicFramePr>
      <xdr:xfrm>
        <a:off x="4221480" y="2872740"/>
        <a:ext cx="3712845" cy="27012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590550</xdr:colOff>
      <xdr:row>16</xdr:row>
      <xdr:rowOff>142875</xdr:rowOff>
    </xdr:from>
    <xdr:to>
      <xdr:col>20</xdr:col>
      <xdr:colOff>180975</xdr:colOff>
      <xdr:row>32</xdr:row>
      <xdr:rowOff>152400</xdr:rowOff>
    </xdr:to>
    <xdr:graphicFrame>
      <xdr:nvGraphicFramePr>
        <xdr:cNvPr id="3446" name="Chart 68"/>
        <xdr:cNvGraphicFramePr/>
      </xdr:nvGraphicFramePr>
      <xdr:xfrm>
        <a:off x="7898130" y="2847975"/>
        <a:ext cx="3930650" cy="27012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1</xdr:row>
      <xdr:rowOff>0</xdr:rowOff>
    </xdr:from>
    <xdr:to>
      <xdr:col>20</xdr:col>
      <xdr:colOff>142875</xdr:colOff>
      <xdr:row>16</xdr:row>
      <xdr:rowOff>152400</xdr:rowOff>
    </xdr:to>
    <xdr:graphicFrame>
      <xdr:nvGraphicFramePr>
        <xdr:cNvPr id="3447" name="Chart 134"/>
        <xdr:cNvGraphicFramePr/>
      </xdr:nvGraphicFramePr>
      <xdr:xfrm>
        <a:off x="7924800" y="190500"/>
        <a:ext cx="3865880" cy="266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19050</xdr:colOff>
      <xdr:row>40</xdr:row>
      <xdr:rowOff>9525</xdr:rowOff>
    </xdr:from>
    <xdr:to>
      <xdr:col>6</xdr:col>
      <xdr:colOff>438150</xdr:colOff>
      <xdr:row>59</xdr:row>
      <xdr:rowOff>114300</xdr:rowOff>
    </xdr:to>
    <xdr:pic>
      <xdr:nvPicPr>
        <xdr:cNvPr id="3448" name="Picture 139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>
        <a:xfrm>
          <a:off x="19050" y="6760845"/>
          <a:ext cx="3896360" cy="3457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9525</xdr:colOff>
      <xdr:row>41</xdr:row>
      <xdr:rowOff>12247</xdr:rowOff>
    </xdr:from>
    <xdr:to>
      <xdr:col>27</xdr:col>
      <xdr:colOff>9525</xdr:colOff>
      <xdr:row>44</xdr:row>
      <xdr:rowOff>156543</xdr:rowOff>
    </xdr:to>
    <xdr:sp>
      <xdr:nvSpPr>
        <xdr:cNvPr id="1096" name="Text Box 72"/>
        <xdr:cNvSpPr txBox="1">
          <a:spLocks noChangeArrowheads="1"/>
        </xdr:cNvSpPr>
      </xdr:nvSpPr>
      <xdr:spPr>
        <a:xfrm>
          <a:off x="15910560" y="6885305"/>
          <a:ext cx="1450340" cy="64706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calculating tolerance using Steinberg Stein formula and Therm min/max values</a:t>
          </a:r>
        </a:p>
      </xdr:txBody>
    </xdr:sp>
    <xdr:clientData/>
  </xdr:twoCellAnchor>
  <xdr:twoCellAnchor>
    <xdr:from>
      <xdr:col>21</xdr:col>
      <xdr:colOff>600075</xdr:colOff>
      <xdr:row>41</xdr:row>
      <xdr:rowOff>12247</xdr:rowOff>
    </xdr:from>
    <xdr:to>
      <xdr:col>24</xdr:col>
      <xdr:colOff>28575</xdr:colOff>
      <xdr:row>43</xdr:row>
      <xdr:rowOff>155121</xdr:rowOff>
    </xdr:to>
    <xdr:sp>
      <xdr:nvSpPr>
        <xdr:cNvPr id="1097" name="Text Box 73"/>
        <xdr:cNvSpPr txBox="1">
          <a:spLocks noChangeArrowheads="1"/>
        </xdr:cNvSpPr>
      </xdr:nvSpPr>
      <xdr:spPr>
        <a:xfrm>
          <a:off x="14032230" y="6885305"/>
          <a:ext cx="1280160" cy="47815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Resistance Error</a:t>
          </a:r>
        </a:p>
      </xdr:txBody>
    </xdr:sp>
    <xdr:clientData/>
  </xdr:twoCellAnchor>
  <xdr:twoCellAnchor>
    <xdr:from>
      <xdr:col>6</xdr:col>
      <xdr:colOff>28575</xdr:colOff>
      <xdr:row>40</xdr:row>
      <xdr:rowOff>145596</xdr:rowOff>
    </xdr:from>
    <xdr:to>
      <xdr:col>7</xdr:col>
      <xdr:colOff>581025</xdr:colOff>
      <xdr:row>43</xdr:row>
      <xdr:rowOff>155121</xdr:rowOff>
    </xdr:to>
    <xdr:sp>
      <xdr:nvSpPr>
        <xdr:cNvPr id="1098" name="Text Box 74"/>
        <xdr:cNvSpPr txBox="1">
          <a:spLocks noChangeArrowheads="1"/>
        </xdr:cNvSpPr>
      </xdr:nvSpPr>
      <xdr:spPr>
        <a:xfrm>
          <a:off x="4094480" y="6851015"/>
          <a:ext cx="1277620" cy="512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Steinberg-Stein calculated temperature error</a:t>
          </a:r>
        </a:p>
      </xdr:txBody>
    </xdr:sp>
    <xdr:clientData/>
  </xdr:twoCellAnchor>
  <xdr:twoCellAnchor>
    <xdr:from>
      <xdr:col>9</xdr:col>
      <xdr:colOff>600075</xdr:colOff>
      <xdr:row>41</xdr:row>
      <xdr:rowOff>2722</xdr:rowOff>
    </xdr:from>
    <xdr:to>
      <xdr:col>14</xdr:col>
      <xdr:colOff>0</xdr:colOff>
      <xdr:row>44</xdr:row>
      <xdr:rowOff>2825</xdr:rowOff>
    </xdr:to>
    <xdr:sp>
      <xdr:nvSpPr>
        <xdr:cNvPr id="1099" name="Text Box 75"/>
        <xdr:cNvSpPr txBox="1">
          <a:spLocks noChangeArrowheads="1"/>
        </xdr:cNvSpPr>
      </xdr:nvSpPr>
      <xdr:spPr>
        <a:xfrm>
          <a:off x="6625590" y="6875780"/>
          <a:ext cx="2486025" cy="502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BETA calculation using Steinberg-Stein 1st order.</a:t>
          </a:r>
        </a:p>
      </xdr:txBody>
    </xdr:sp>
    <xdr:clientData/>
  </xdr:twoCellAnchor>
  <xdr:twoCellAnchor>
    <xdr:from>
      <xdr:col>17</xdr:col>
      <xdr:colOff>485775</xdr:colOff>
      <xdr:row>44</xdr:row>
      <xdr:rowOff>78922</xdr:rowOff>
    </xdr:from>
    <xdr:to>
      <xdr:col>21</xdr:col>
      <xdr:colOff>447675</xdr:colOff>
      <xdr:row>47</xdr:row>
      <xdr:rowOff>84524</xdr:rowOff>
    </xdr:to>
    <xdr:sp>
      <xdr:nvSpPr>
        <xdr:cNvPr id="1101" name="Text Box 77"/>
        <xdr:cNvSpPr txBox="1">
          <a:spLocks noChangeArrowheads="1"/>
        </xdr:cNvSpPr>
      </xdr:nvSpPr>
      <xdr:spPr>
        <a:xfrm>
          <a:off x="11449050" y="7454900"/>
          <a:ext cx="2430780" cy="518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R_T=R_N*(1±ThermTol)*EXP(</a:t>
          </a:r>
          <a:r>
            <a:rPr lang="el-GR" sz="1000" b="0" i="0" strike="noStrike">
              <a:solidFill>
                <a:srgbClr val="000000"/>
              </a:solidFill>
              <a:latin typeface="Arial"/>
              <a:cs typeface="Arial"/>
            </a:rPr>
            <a:t>β(1±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betaTol)*(T_N-T)/(T_N*T)</a:t>
          </a:r>
        </a:p>
      </xdr:txBody>
    </xdr:sp>
    <xdr:clientData/>
  </xdr:twoCellAnchor>
  <xdr:twoCellAnchor>
    <xdr:from>
      <xdr:col>10</xdr:col>
      <xdr:colOff>0</xdr:colOff>
      <xdr:row>44</xdr:row>
      <xdr:rowOff>31297</xdr:rowOff>
    </xdr:from>
    <xdr:to>
      <xdr:col>14</xdr:col>
      <xdr:colOff>9525</xdr:colOff>
      <xdr:row>47</xdr:row>
      <xdr:rowOff>36899</xdr:rowOff>
    </xdr:to>
    <xdr:sp>
      <xdr:nvSpPr>
        <xdr:cNvPr id="1102" name="Text Box 78"/>
        <xdr:cNvSpPr txBox="1">
          <a:spLocks noChangeArrowheads="1"/>
        </xdr:cNvSpPr>
      </xdr:nvSpPr>
      <xdr:spPr>
        <a:xfrm>
          <a:off x="6642735" y="7407275"/>
          <a:ext cx="2478405" cy="518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1000" b="0" i="0" strike="noStrike">
              <a:solidFill>
                <a:srgbClr val="000000"/>
              </a:solidFill>
              <a:latin typeface="Arial"/>
              <a:cs typeface="Arial"/>
            </a:rPr>
            <a:t>β=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T*T_0/(T_0-T)*ln(R_T/R_T0)</a:t>
          </a:r>
        </a:p>
      </xdr:txBody>
    </xdr:sp>
    <xdr:clientData/>
  </xdr:twoCellAnchor>
  <xdr:twoCellAnchor>
    <xdr:from>
      <xdr:col>17</xdr:col>
      <xdr:colOff>466725</xdr:colOff>
      <xdr:row>41</xdr:row>
      <xdr:rowOff>2722</xdr:rowOff>
    </xdr:from>
    <xdr:to>
      <xdr:col>21</xdr:col>
      <xdr:colOff>447675</xdr:colOff>
      <xdr:row>44</xdr:row>
      <xdr:rowOff>2825</xdr:rowOff>
    </xdr:to>
    <xdr:sp>
      <xdr:nvSpPr>
        <xdr:cNvPr id="1103" name="Text Box 79"/>
        <xdr:cNvSpPr txBox="1">
          <a:spLocks noChangeArrowheads="1"/>
        </xdr:cNvSpPr>
      </xdr:nvSpPr>
      <xdr:spPr>
        <a:xfrm>
          <a:off x="11430000" y="6875780"/>
          <a:ext cx="2449830" cy="502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53</xdr:row>
          <xdr:rowOff>28575</xdr:rowOff>
        </xdr:from>
        <xdr:to>
          <xdr:col>5</xdr:col>
          <xdr:colOff>523875</xdr:colOff>
          <xdr:row>55</xdr:row>
          <xdr:rowOff>95250</xdr:rowOff>
        </xdr:to>
        <xdr:sp>
          <xdr:nvSpPr>
            <xdr:cNvPr id="1093" name="Object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1978025" y="8923020"/>
              <a:ext cx="1906270" cy="4019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65</xdr:row>
          <xdr:rowOff>66675</xdr:rowOff>
        </xdr:from>
        <xdr:to>
          <xdr:col>6</xdr:col>
          <xdr:colOff>209550</xdr:colOff>
          <xdr:row>67</xdr:row>
          <xdr:rowOff>133350</xdr:rowOff>
        </xdr:to>
        <xdr:sp>
          <xdr:nvSpPr>
            <xdr:cNvPr id="1094" name="Object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1978025" y="10991850"/>
              <a:ext cx="2297430" cy="4019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600075</xdr:colOff>
      <xdr:row>44</xdr:row>
      <xdr:rowOff>31750</xdr:rowOff>
    </xdr:from>
    <xdr:to>
      <xdr:col>14</xdr:col>
      <xdr:colOff>561975</xdr:colOff>
      <xdr:row>47</xdr:row>
      <xdr:rowOff>41275</xdr:rowOff>
    </xdr:to>
    <xdr:sp>
      <xdr:nvSpPr>
        <xdr:cNvPr id="4099" name="Text Box 1027"/>
        <xdr:cNvSpPr txBox="1">
          <a:spLocks noChangeArrowheads="1"/>
        </xdr:cNvSpPr>
      </xdr:nvSpPr>
      <xdr:spPr>
        <a:xfrm>
          <a:off x="6772275" y="7407910"/>
          <a:ext cx="2430780" cy="512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R_T=R_N*(1±Rtol)*(1±TempDrift(T-T_0))</a:t>
          </a:r>
        </a:p>
      </xdr:txBody>
    </xdr:sp>
    <xdr:clientData/>
  </xdr:twoCellAnchor>
  <xdr:twoCellAnchor>
    <xdr:from>
      <xdr:col>10</xdr:col>
      <xdr:colOff>600075</xdr:colOff>
      <xdr:row>41</xdr:row>
      <xdr:rowOff>12700</xdr:rowOff>
    </xdr:from>
    <xdr:to>
      <xdr:col>14</xdr:col>
      <xdr:colOff>581025</xdr:colOff>
      <xdr:row>44</xdr:row>
      <xdr:rowOff>22225</xdr:rowOff>
    </xdr:to>
    <xdr:sp>
      <xdr:nvSpPr>
        <xdr:cNvPr id="4100" name="Text Box 1028"/>
        <xdr:cNvSpPr txBox="1">
          <a:spLocks noChangeArrowheads="1"/>
        </xdr:cNvSpPr>
      </xdr:nvSpPr>
      <xdr:spPr>
        <a:xfrm>
          <a:off x="6772275" y="6885940"/>
          <a:ext cx="2449830" cy="512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xdr:twoCellAnchor>
    <xdr:from>
      <xdr:col>19</xdr:col>
      <xdr:colOff>28575</xdr:colOff>
      <xdr:row>44</xdr:row>
      <xdr:rowOff>69850</xdr:rowOff>
    </xdr:from>
    <xdr:to>
      <xdr:col>22</xdr:col>
      <xdr:colOff>600075</xdr:colOff>
      <xdr:row>47</xdr:row>
      <xdr:rowOff>79375</xdr:rowOff>
    </xdr:to>
    <xdr:sp>
      <xdr:nvSpPr>
        <xdr:cNvPr id="4101" name="Text Box 1029"/>
        <xdr:cNvSpPr txBox="1">
          <a:spLocks noChangeArrowheads="1"/>
        </xdr:cNvSpPr>
      </xdr:nvSpPr>
      <xdr:spPr>
        <a:xfrm>
          <a:off x="11755755" y="7446010"/>
          <a:ext cx="2423160" cy="512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R_T=R_N*(1±Rtol)*(1±TempDrift(T-T_0))</a:t>
          </a:r>
        </a:p>
      </xdr:txBody>
    </xdr:sp>
    <xdr:clientData/>
  </xdr:twoCellAnchor>
  <xdr:twoCellAnchor>
    <xdr:from>
      <xdr:col>19</xdr:col>
      <xdr:colOff>28575</xdr:colOff>
      <xdr:row>41</xdr:row>
      <xdr:rowOff>41275</xdr:rowOff>
    </xdr:from>
    <xdr:to>
      <xdr:col>23</xdr:col>
      <xdr:colOff>9525</xdr:colOff>
      <xdr:row>44</xdr:row>
      <xdr:rowOff>50800</xdr:rowOff>
    </xdr:to>
    <xdr:sp>
      <xdr:nvSpPr>
        <xdr:cNvPr id="4102" name="Text Box 1030"/>
        <xdr:cNvSpPr txBox="1">
          <a:spLocks noChangeArrowheads="1"/>
        </xdr:cNvSpPr>
      </xdr:nvSpPr>
      <xdr:spPr>
        <a:xfrm>
          <a:off x="11755755" y="6914515"/>
          <a:ext cx="2449830" cy="512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xdr:twoCellAnchor>
    <xdr:from>
      <xdr:col>26</xdr:col>
      <xdr:colOff>257175</xdr:colOff>
      <xdr:row>45</xdr:row>
      <xdr:rowOff>107950</xdr:rowOff>
    </xdr:from>
    <xdr:to>
      <xdr:col>30</xdr:col>
      <xdr:colOff>66675</xdr:colOff>
      <xdr:row>48</xdr:row>
      <xdr:rowOff>79375</xdr:rowOff>
    </xdr:to>
    <xdr:sp>
      <xdr:nvSpPr>
        <xdr:cNvPr id="4105" name="Text Box 1033"/>
        <xdr:cNvSpPr txBox="1">
          <a:spLocks noChangeArrowheads="1"/>
        </xdr:cNvSpPr>
      </xdr:nvSpPr>
      <xdr:spPr>
        <a:xfrm>
          <a:off x="16304895" y="7651750"/>
          <a:ext cx="2533015" cy="4743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Vout/Vin=(RTH+RPAD)/(RTH+RPAD+T+THERM)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38100</xdr:colOff>
      <xdr:row>44</xdr:row>
      <xdr:rowOff>107950</xdr:rowOff>
    </xdr:from>
    <xdr:to>
      <xdr:col>9</xdr:col>
      <xdr:colOff>28575</xdr:colOff>
      <xdr:row>52</xdr:row>
      <xdr:rowOff>69873</xdr:rowOff>
    </xdr:to>
    <xdr:sp>
      <xdr:nvSpPr>
        <xdr:cNvPr id="4106" name="Text Box 1034"/>
        <xdr:cNvSpPr txBox="1">
          <a:spLocks noChangeArrowheads="1"/>
        </xdr:cNvSpPr>
      </xdr:nvSpPr>
      <xdr:spPr>
        <a:xfrm>
          <a:off x="4358640" y="7484110"/>
          <a:ext cx="1224915" cy="13030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Simple linear temperature  derating 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0</xdr:colOff>
      <xdr:row>41</xdr:row>
      <xdr:rowOff>12700</xdr:rowOff>
    </xdr:from>
    <xdr:to>
      <xdr:col>11</xdr:col>
      <xdr:colOff>581025</xdr:colOff>
      <xdr:row>45</xdr:row>
      <xdr:rowOff>12700</xdr:rowOff>
    </xdr:to>
    <xdr:sp>
      <xdr:nvSpPr>
        <xdr:cNvPr id="5121" name="Text Box 1"/>
        <xdr:cNvSpPr txBox="1">
          <a:spLocks noChangeArrowheads="1"/>
        </xdr:cNvSpPr>
      </xdr:nvSpPr>
      <xdr:spPr>
        <a:xfrm>
          <a:off x="5554980" y="6885940"/>
          <a:ext cx="1815465" cy="6705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effective resolution in AD count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13</xdr:col>
      <xdr:colOff>0</xdr:colOff>
      <xdr:row>41</xdr:row>
      <xdr:rowOff>12247</xdr:rowOff>
    </xdr:from>
    <xdr:to>
      <xdr:col>14</xdr:col>
      <xdr:colOff>809625</xdr:colOff>
      <xdr:row>48</xdr:row>
      <xdr:rowOff>145597</xdr:rowOff>
    </xdr:to>
    <xdr:sp>
      <xdr:nvSpPr>
        <xdr:cNvPr id="7170" name="Text Box 2"/>
        <xdr:cNvSpPr txBox="1">
          <a:spLocks noChangeArrowheads="1"/>
        </xdr:cNvSpPr>
      </xdr:nvSpPr>
      <xdr:spPr>
        <a:xfrm>
          <a:off x="10481945" y="6885305"/>
          <a:ext cx="1446530" cy="1306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Use BETA to calculate RTHERM for T-0.1degC: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R_T=R_T0*EXP((BETA(T0-T)/(T*T0)))</a:t>
          </a:r>
        </a:p>
      </xdr:txBody>
    </xdr:sp>
    <xdr:clientData/>
  </xdr:twoCellAnchor>
  <xdr:twoCellAnchor>
    <xdr:from>
      <xdr:col>16</xdr:col>
      <xdr:colOff>9525</xdr:colOff>
      <xdr:row>41</xdr:row>
      <xdr:rowOff>12247</xdr:rowOff>
    </xdr:from>
    <xdr:to>
      <xdr:col>17</xdr:col>
      <xdr:colOff>219075</xdr:colOff>
      <xdr:row>48</xdr:row>
      <xdr:rowOff>145597</xdr:rowOff>
    </xdr:to>
    <xdr:sp>
      <xdr:nvSpPr>
        <xdr:cNvPr id="7171" name="Text Box 3"/>
        <xdr:cNvSpPr txBox="1">
          <a:spLocks noChangeArrowheads="1"/>
        </xdr:cNvSpPr>
      </xdr:nvSpPr>
      <xdr:spPr>
        <a:xfrm>
          <a:off x="12764135" y="6885305"/>
          <a:ext cx="1071880" cy="1306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minumum LSB for 0.1degC resolution</a:t>
          </a:r>
        </a:p>
      </xdr:txBody>
    </xdr:sp>
    <xdr:clientData/>
  </xdr:twoCellAnchor>
  <xdr:twoCellAnchor>
    <xdr:from>
      <xdr:col>29</xdr:col>
      <xdr:colOff>0</xdr:colOff>
      <xdr:row>43</xdr:row>
      <xdr:rowOff>156482</xdr:rowOff>
    </xdr:from>
    <xdr:to>
      <xdr:col>33</xdr:col>
      <xdr:colOff>361950</xdr:colOff>
      <xdr:row>50</xdr:row>
      <xdr:rowOff>88520</xdr:rowOff>
    </xdr:to>
    <xdr:sp>
      <xdr:nvSpPr>
        <xdr:cNvPr id="7173" name="Text Box 5"/>
        <xdr:cNvSpPr txBox="1">
          <a:spLocks noChangeArrowheads="1"/>
        </xdr:cNvSpPr>
      </xdr:nvSpPr>
      <xdr:spPr>
        <a:xfrm>
          <a:off x="23964900" y="7364730"/>
          <a:ext cx="3458210" cy="110553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polynomial regression 3rd order for B coeffictients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b3x^3 + b2x^2 + b1x + m = y</a:t>
          </a:r>
        </a:p>
      </xdr:txBody>
    </xdr:sp>
    <xdr:clientData/>
  </xdr:twoCellAnchor>
  <xdr:twoCellAnchor>
    <xdr:from>
      <xdr:col>19</xdr:col>
      <xdr:colOff>9525</xdr:colOff>
      <xdr:row>44</xdr:row>
      <xdr:rowOff>2722</xdr:rowOff>
    </xdr:from>
    <xdr:to>
      <xdr:col>23</xdr:col>
      <xdr:colOff>828675</xdr:colOff>
      <xdr:row>51</xdr:row>
      <xdr:rowOff>136072</xdr:rowOff>
    </xdr:to>
    <xdr:sp>
      <xdr:nvSpPr>
        <xdr:cNvPr id="7174" name="Text Box 6"/>
        <xdr:cNvSpPr txBox="1">
          <a:spLocks noChangeArrowheads="1"/>
        </xdr:cNvSpPr>
      </xdr:nvSpPr>
      <xdr:spPr>
        <a:xfrm>
          <a:off x="15351125" y="7378700"/>
          <a:ext cx="4268470" cy="1306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polynomial regression 4th order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A4x^4+A3*x^3+A2*x^2+A1*x+A0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6" Type="http://schemas.openxmlformats.org/officeDocument/2006/relationships/image" Target="../media/image3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2.e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</sheetPr>
  <dimension ref="A1:AJ296"/>
  <sheetViews>
    <sheetView zoomScale="85" zoomScaleNormal="85" workbookViewId="0">
      <selection activeCell="G4" sqref="G4:G34"/>
    </sheetView>
  </sheetViews>
  <sheetFormatPr defaultColWidth="9" defaultRowHeight="13.2"/>
  <cols>
    <col min="1" max="1" width="0.851851851851852" customWidth="1"/>
    <col min="2" max="2" width="10.8518518518519" customWidth="1"/>
    <col min="3" max="3" width="8.28703703703704" customWidth="1"/>
    <col min="4" max="4" width="11" customWidth="1"/>
    <col min="6" max="6" width="10.712962962963" customWidth="1"/>
    <col min="7" max="7" width="9.71296296296296" customWidth="1"/>
    <col min="8" max="8" width="1.13888888888889" customWidth="1"/>
    <col min="20" max="20" width="9.28703703703704" customWidth="1"/>
    <col min="21" max="21" width="4.13888888888889" customWidth="1"/>
    <col min="22" max="22" width="3.85185185185185" customWidth="1"/>
    <col min="27" max="28" width="9.42592592592593" customWidth="1"/>
    <col min="31" max="31" width="9.57407407407407" customWidth="1"/>
    <col min="34" max="34" width="9.28703703703704" customWidth="1"/>
  </cols>
  <sheetData>
    <row r="1" ht="15" customHeight="1" spans="2:36">
      <c r="B1" s="60" t="s">
        <v>0</v>
      </c>
      <c r="L1" s="15" t="s">
        <v>1</v>
      </c>
      <c r="AA1" s="16"/>
      <c r="AB1" s="16"/>
      <c r="AC1" s="16"/>
      <c r="AD1" s="16"/>
      <c r="AE1" s="16"/>
      <c r="AF1" s="16"/>
      <c r="AG1" s="16"/>
      <c r="AH1" s="16"/>
      <c r="AI1" s="16"/>
      <c r="AJ1" s="16"/>
    </row>
    <row r="2" spans="2:36">
      <c r="B2" s="61" t="s">
        <v>2</v>
      </c>
      <c r="C2" s="51"/>
      <c r="D2" s="51"/>
      <c r="E2" s="51"/>
      <c r="F2" s="62" t="s">
        <v>3</v>
      </c>
      <c r="G2" s="52"/>
      <c r="AA2" s="16"/>
      <c r="AB2" s="16"/>
      <c r="AC2" s="16"/>
      <c r="AD2" s="16"/>
      <c r="AE2" s="16"/>
      <c r="AF2" s="16"/>
      <c r="AG2" s="16"/>
      <c r="AH2" s="84"/>
      <c r="AI2" s="16"/>
      <c r="AJ2" s="16"/>
    </row>
    <row r="3" spans="2:36">
      <c r="B3" s="53" t="s">
        <v>4</v>
      </c>
      <c r="C3" s="16"/>
      <c r="D3" s="26">
        <v>-40</v>
      </c>
      <c r="E3" s="16"/>
      <c r="F3" s="16" t="s">
        <v>5</v>
      </c>
      <c r="G3" s="54" t="s">
        <v>6</v>
      </c>
      <c r="AA3" s="16"/>
      <c r="AB3" s="16"/>
      <c r="AC3" s="16"/>
      <c r="AD3" s="16"/>
      <c r="AE3" s="16"/>
      <c r="AF3" s="16"/>
      <c r="AG3" s="16"/>
      <c r="AH3" s="84"/>
      <c r="AI3" s="16"/>
      <c r="AJ3" s="16"/>
    </row>
    <row r="4" spans="2:36">
      <c r="B4" s="53" t="s">
        <v>7</v>
      </c>
      <c r="C4" s="16"/>
      <c r="D4" s="63">
        <v>110</v>
      </c>
      <c r="E4" s="16"/>
      <c r="F4" s="24">
        <v>-40</v>
      </c>
      <c r="G4" s="26">
        <v>188500</v>
      </c>
      <c r="AA4" s="16"/>
      <c r="AB4" s="16"/>
      <c r="AC4" s="16"/>
      <c r="AD4" s="16"/>
      <c r="AE4" s="16"/>
      <c r="AF4" s="16"/>
      <c r="AG4" s="16"/>
      <c r="AH4" s="84"/>
      <c r="AI4" s="16"/>
      <c r="AJ4" s="16"/>
    </row>
    <row r="5" spans="2:36">
      <c r="B5" s="53"/>
      <c r="C5" s="16"/>
      <c r="D5" s="16"/>
      <c r="E5" s="16"/>
      <c r="F5" s="24">
        <v>-35</v>
      </c>
      <c r="G5" s="26">
        <v>144100</v>
      </c>
      <c r="AA5" s="16"/>
      <c r="AB5" s="16"/>
      <c r="AC5" s="16"/>
      <c r="AD5" s="16"/>
      <c r="AE5" s="16"/>
      <c r="AF5" s="16"/>
      <c r="AG5" s="16"/>
      <c r="AH5" s="84"/>
      <c r="AI5" s="16"/>
      <c r="AJ5" s="16"/>
    </row>
    <row r="6" spans="2:36">
      <c r="B6" s="64" t="s">
        <v>8</v>
      </c>
      <c r="C6" s="16"/>
      <c r="D6" s="16"/>
      <c r="E6" s="16"/>
      <c r="F6" s="24">
        <v>-30</v>
      </c>
      <c r="G6" s="26">
        <v>111300</v>
      </c>
      <c r="AA6" s="16"/>
      <c r="AB6" s="16"/>
      <c r="AC6" s="16"/>
      <c r="AD6" s="16"/>
      <c r="AE6" s="16"/>
      <c r="AF6" s="16"/>
      <c r="AG6" s="16"/>
      <c r="AH6" s="84"/>
      <c r="AI6" s="16"/>
      <c r="AJ6" s="16"/>
    </row>
    <row r="7" spans="2:36">
      <c r="B7" s="53" t="s">
        <v>9</v>
      </c>
      <c r="C7" s="16"/>
      <c r="D7" s="65">
        <v>0.01</v>
      </c>
      <c r="E7" s="16"/>
      <c r="F7" s="24">
        <v>-25</v>
      </c>
      <c r="G7" s="26">
        <v>86430</v>
      </c>
      <c r="AA7" s="16"/>
      <c r="AB7" s="16"/>
      <c r="AC7" s="16"/>
      <c r="AD7" s="16"/>
      <c r="AE7" s="16"/>
      <c r="AF7" s="16"/>
      <c r="AG7" s="16"/>
      <c r="AH7" s="84"/>
      <c r="AI7" s="16"/>
      <c r="AJ7" s="16"/>
    </row>
    <row r="8" spans="2:36">
      <c r="B8" s="53"/>
      <c r="C8" s="16"/>
      <c r="D8" s="16"/>
      <c r="E8" s="16"/>
      <c r="F8" s="24">
        <v>-20</v>
      </c>
      <c r="G8" s="26">
        <v>67770</v>
      </c>
      <c r="AA8" s="16"/>
      <c r="AB8" s="16"/>
      <c r="AC8" s="16"/>
      <c r="AD8" s="16"/>
      <c r="AE8" s="16"/>
      <c r="AF8" s="16"/>
      <c r="AG8" s="16"/>
      <c r="AH8" s="84"/>
      <c r="AI8" s="16"/>
      <c r="AJ8" s="16"/>
    </row>
    <row r="9" spans="2:36">
      <c r="B9" s="53" t="s">
        <v>10</v>
      </c>
      <c r="C9" s="16"/>
      <c r="D9" s="65">
        <v>0.01</v>
      </c>
      <c r="E9" s="16"/>
      <c r="F9" s="24">
        <v>-15</v>
      </c>
      <c r="G9" s="26">
        <v>53410</v>
      </c>
      <c r="AA9" s="16"/>
      <c r="AB9" s="16"/>
      <c r="AC9" s="16"/>
      <c r="AD9" s="16"/>
      <c r="AE9" s="16"/>
      <c r="AF9" s="16"/>
      <c r="AG9" s="16"/>
      <c r="AH9" s="84"/>
      <c r="AI9" s="16"/>
      <c r="AJ9" s="16"/>
    </row>
    <row r="10" spans="2:36">
      <c r="B10" s="53"/>
      <c r="C10" s="16"/>
      <c r="D10" s="16"/>
      <c r="E10" s="16"/>
      <c r="F10" s="24">
        <v>-10</v>
      </c>
      <c r="G10" s="26">
        <v>42470</v>
      </c>
      <c r="AA10" s="16"/>
      <c r="AB10" s="16"/>
      <c r="AC10" s="16"/>
      <c r="AD10" s="16"/>
      <c r="AE10" s="16"/>
      <c r="AF10" s="16"/>
      <c r="AG10" s="16"/>
      <c r="AH10" s="84"/>
      <c r="AI10" s="16"/>
      <c r="AJ10" s="16"/>
    </row>
    <row r="11" spans="2:36">
      <c r="B11" s="64" t="s">
        <v>11</v>
      </c>
      <c r="C11" s="16"/>
      <c r="D11" s="16"/>
      <c r="E11" s="16"/>
      <c r="F11" s="24">
        <v>-5</v>
      </c>
      <c r="G11" s="26">
        <v>33900</v>
      </c>
      <c r="AA11" s="16"/>
      <c r="AB11" s="16"/>
      <c r="AC11" s="16"/>
      <c r="AD11" s="16"/>
      <c r="AE11" s="16"/>
      <c r="AF11" s="16"/>
      <c r="AG11" s="16"/>
      <c r="AH11" s="84"/>
      <c r="AI11" s="16"/>
      <c r="AJ11" s="16"/>
    </row>
    <row r="12" spans="2:36">
      <c r="B12" s="53" t="s">
        <v>12</v>
      </c>
      <c r="C12" s="16"/>
      <c r="D12" s="66">
        <v>18000</v>
      </c>
      <c r="E12" s="16"/>
      <c r="F12" s="24">
        <v>0</v>
      </c>
      <c r="G12" s="26">
        <v>27280</v>
      </c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2:30">
      <c r="B13" s="53"/>
      <c r="C13" s="16"/>
      <c r="D13" s="16"/>
      <c r="E13" s="16"/>
      <c r="F13" s="24">
        <v>5</v>
      </c>
      <c r="G13" s="26">
        <v>22050</v>
      </c>
      <c r="Z13" s="16"/>
      <c r="AA13" s="16"/>
      <c r="AB13" s="16"/>
      <c r="AC13" s="16"/>
      <c r="AD13" s="16"/>
    </row>
    <row r="14" spans="2:30">
      <c r="B14" s="53" t="s">
        <v>9</v>
      </c>
      <c r="C14" s="16"/>
      <c r="D14" s="67">
        <v>0.01</v>
      </c>
      <c r="E14" s="16"/>
      <c r="F14" s="24">
        <v>10</v>
      </c>
      <c r="G14" s="26">
        <v>17960</v>
      </c>
      <c r="Z14" s="16"/>
      <c r="AA14" s="16"/>
      <c r="AB14" s="16"/>
      <c r="AC14" s="16"/>
      <c r="AD14" s="16"/>
    </row>
    <row r="15" spans="2:30">
      <c r="B15" s="53"/>
      <c r="C15" s="16"/>
      <c r="D15" s="16"/>
      <c r="E15" s="16"/>
      <c r="F15" s="24">
        <v>15</v>
      </c>
      <c r="G15" s="26">
        <v>14690</v>
      </c>
      <c r="Z15" s="16"/>
      <c r="AA15" s="16"/>
      <c r="AB15" s="16"/>
      <c r="AC15" s="16"/>
      <c r="AD15" s="16"/>
    </row>
    <row r="16" spans="2:30">
      <c r="B16" s="53" t="s">
        <v>13</v>
      </c>
      <c r="C16" s="16"/>
      <c r="D16" s="67">
        <v>0</v>
      </c>
      <c r="E16" s="16"/>
      <c r="F16" s="24">
        <v>20</v>
      </c>
      <c r="G16" s="26">
        <v>12090</v>
      </c>
      <c r="Z16" s="16"/>
      <c r="AA16" s="16"/>
      <c r="AB16" s="16"/>
      <c r="AC16" s="16"/>
      <c r="AD16" s="16"/>
    </row>
    <row r="17" spans="2:30">
      <c r="B17" s="53"/>
      <c r="C17" s="16"/>
      <c r="D17" s="16"/>
      <c r="E17" s="16"/>
      <c r="F17" s="24">
        <v>25</v>
      </c>
      <c r="G17" s="26">
        <v>10000</v>
      </c>
      <c r="Z17" s="16"/>
      <c r="AA17" s="16"/>
      <c r="AB17" s="16"/>
      <c r="AC17" s="16"/>
      <c r="AD17" s="16"/>
    </row>
    <row r="18" spans="2:30">
      <c r="B18" s="64" t="s">
        <v>14</v>
      </c>
      <c r="C18" s="16"/>
      <c r="D18" s="16"/>
      <c r="E18" s="16"/>
      <c r="F18" s="24">
        <v>30</v>
      </c>
      <c r="G18" s="26">
        <v>8313</v>
      </c>
      <c r="Z18" s="16"/>
      <c r="AA18" s="16"/>
      <c r="AB18" s="16"/>
      <c r="AC18" s="16"/>
      <c r="AD18" s="16"/>
    </row>
    <row r="19" spans="2:30">
      <c r="B19" s="53" t="s">
        <v>12</v>
      </c>
      <c r="C19" s="16"/>
      <c r="D19" s="68">
        <v>0</v>
      </c>
      <c r="E19" s="16"/>
      <c r="F19" s="24">
        <v>35</v>
      </c>
      <c r="G19" s="26">
        <v>6940</v>
      </c>
      <c r="Z19" s="16"/>
      <c r="AA19" s="16"/>
      <c r="AB19" s="16"/>
      <c r="AC19" s="16"/>
      <c r="AD19" s="16"/>
    </row>
    <row r="20" spans="2:30">
      <c r="B20" s="53"/>
      <c r="C20" s="16"/>
      <c r="D20" s="16"/>
      <c r="E20" s="16"/>
      <c r="F20" s="24">
        <v>40</v>
      </c>
      <c r="G20" s="26">
        <v>5827</v>
      </c>
      <c r="Z20" s="16"/>
      <c r="AA20" s="16"/>
      <c r="AB20" s="16"/>
      <c r="AC20" s="16"/>
      <c r="AD20" s="16"/>
    </row>
    <row r="21" spans="2:30">
      <c r="B21" s="53" t="s">
        <v>9</v>
      </c>
      <c r="C21" s="16"/>
      <c r="D21" s="67">
        <v>0.01</v>
      </c>
      <c r="E21" s="16"/>
      <c r="F21" s="24">
        <v>45</v>
      </c>
      <c r="G21" s="26">
        <v>4911</v>
      </c>
      <c r="Z21" s="16"/>
      <c r="AA21" s="16"/>
      <c r="AB21" s="16"/>
      <c r="AC21" s="16"/>
      <c r="AD21" s="16"/>
    </row>
    <row r="22" spans="2:30">
      <c r="B22" s="53"/>
      <c r="C22" s="16"/>
      <c r="D22" s="69"/>
      <c r="E22" s="16"/>
      <c r="F22" s="24">
        <v>50</v>
      </c>
      <c r="G22" s="26">
        <v>4160</v>
      </c>
      <c r="Z22" s="16"/>
      <c r="AA22" s="16"/>
      <c r="AB22" s="16"/>
      <c r="AC22" s="16"/>
      <c r="AD22" s="16"/>
    </row>
    <row r="23" spans="2:30">
      <c r="B23" s="53" t="s">
        <v>13</v>
      </c>
      <c r="C23" s="16"/>
      <c r="D23" s="67">
        <v>0.002</v>
      </c>
      <c r="E23" s="16"/>
      <c r="F23" s="24">
        <v>55</v>
      </c>
      <c r="G23" s="26">
        <v>3536</v>
      </c>
      <c r="Z23" s="16"/>
      <c r="AA23" s="16"/>
      <c r="AB23" s="16"/>
      <c r="AC23" s="16"/>
      <c r="AD23" s="16"/>
    </row>
    <row r="24" spans="2:30">
      <c r="B24" s="53"/>
      <c r="C24" s="16"/>
      <c r="D24" s="16"/>
      <c r="E24" s="16"/>
      <c r="F24" s="24">
        <v>60</v>
      </c>
      <c r="G24" s="26">
        <v>3020</v>
      </c>
      <c r="Z24" s="16"/>
      <c r="AA24" s="16"/>
      <c r="AB24" s="16"/>
      <c r="AC24" s="16"/>
      <c r="AD24" s="16"/>
    </row>
    <row r="25" spans="2:30">
      <c r="B25" s="64" t="s">
        <v>15</v>
      </c>
      <c r="C25" s="16"/>
      <c r="D25" s="16"/>
      <c r="E25" s="16"/>
      <c r="F25" s="24">
        <v>65</v>
      </c>
      <c r="G25" s="26">
        <v>2588</v>
      </c>
      <c r="Z25" s="16"/>
      <c r="AA25" s="16"/>
      <c r="AB25" s="16"/>
      <c r="AC25" s="16"/>
      <c r="AD25" s="16"/>
    </row>
    <row r="26" spans="2:36">
      <c r="B26" s="53" t="s">
        <v>16</v>
      </c>
      <c r="C26" s="16"/>
      <c r="D26" s="26">
        <v>25</v>
      </c>
      <c r="E26" s="16"/>
      <c r="F26" s="24">
        <v>70</v>
      </c>
      <c r="G26" s="26">
        <v>2228</v>
      </c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2:36">
      <c r="B27" s="53"/>
      <c r="C27" s="16"/>
      <c r="D27" s="16"/>
      <c r="E27" s="16"/>
      <c r="F27" s="24">
        <v>75</v>
      </c>
      <c r="G27" s="26">
        <v>1924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2:36">
      <c r="B28" s="53"/>
      <c r="C28" s="16"/>
      <c r="D28" s="16"/>
      <c r="E28" s="16"/>
      <c r="F28" s="24">
        <v>80</v>
      </c>
      <c r="G28" s="26">
        <v>1668</v>
      </c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ht="13.95" spans="2:36">
      <c r="B29" s="64" t="s">
        <v>17</v>
      </c>
      <c r="C29" s="70"/>
      <c r="D29" s="70" t="s">
        <v>18</v>
      </c>
      <c r="E29" s="16"/>
      <c r="F29" s="24">
        <v>85</v>
      </c>
      <c r="G29" s="26">
        <v>1451</v>
      </c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2:36">
      <c r="B30" s="71" t="s">
        <v>19</v>
      </c>
      <c r="C30" s="4">
        <f ca="1">Digital!R42</f>
        <v>-16011</v>
      </c>
      <c r="D30" s="72" t="s">
        <v>20</v>
      </c>
      <c r="E30" s="5">
        <f ca="1">Digital!Z43</f>
        <v>42</v>
      </c>
      <c r="F30" s="73">
        <v>90</v>
      </c>
      <c r="G30" s="26">
        <v>1266</v>
      </c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2:36">
      <c r="B31" s="74" t="s">
        <v>21</v>
      </c>
      <c r="C31" s="8">
        <f ca="1">Digital!R43</f>
        <v>27432</v>
      </c>
      <c r="D31" s="25" t="s">
        <v>22</v>
      </c>
      <c r="E31" s="10">
        <f ca="1">Digital!Z44</f>
        <v>-78</v>
      </c>
      <c r="F31" s="73">
        <v>95</v>
      </c>
      <c r="G31" s="26">
        <v>1108</v>
      </c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2:36">
      <c r="B32" s="74" t="s">
        <v>23</v>
      </c>
      <c r="C32" s="8">
        <f ca="1">Digital!R44</f>
        <v>-23370</v>
      </c>
      <c r="D32" s="27" t="s">
        <v>24</v>
      </c>
      <c r="E32" s="10">
        <f ca="1">Digital!Z45</f>
        <v>-3014</v>
      </c>
      <c r="F32" s="73">
        <v>100</v>
      </c>
      <c r="G32" s="26">
        <v>973.1</v>
      </c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2:36">
      <c r="B33" s="74" t="s">
        <v>25</v>
      </c>
      <c r="C33" s="8">
        <f ca="1">Digital!R45</f>
        <v>29022</v>
      </c>
      <c r="D33" s="27" t="s">
        <v>26</v>
      </c>
      <c r="E33" s="10">
        <f ca="1">Digital!Z46</f>
        <v>4955</v>
      </c>
      <c r="F33" s="73">
        <v>105</v>
      </c>
      <c r="G33" s="26">
        <v>857.2</v>
      </c>
      <c r="J33" t="s">
        <v>27</v>
      </c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ht="13.5" customHeight="1" spans="2:36">
      <c r="B34" s="75" t="s">
        <v>28</v>
      </c>
      <c r="C34" s="13">
        <f ca="1">Digital!R46</f>
        <v>658</v>
      </c>
      <c r="D34" s="76"/>
      <c r="E34" s="77"/>
      <c r="F34" s="73">
        <v>110</v>
      </c>
      <c r="G34" s="26">
        <v>757.6</v>
      </c>
      <c r="I34" s="81" t="s">
        <v>29</v>
      </c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2:36">
      <c r="B35" s="53"/>
      <c r="C35" s="17"/>
      <c r="D35" s="16"/>
      <c r="E35" s="16"/>
      <c r="F35" s="27">
        <v>115</v>
      </c>
      <c r="G35" s="78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2:36">
      <c r="B36" s="53"/>
      <c r="C36" s="17"/>
      <c r="D36" s="16"/>
      <c r="E36" s="16"/>
      <c r="F36" s="17"/>
      <c r="G36" s="79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2:36">
      <c r="B37" s="53"/>
      <c r="C37" s="17"/>
      <c r="D37" s="16"/>
      <c r="E37" s="16"/>
      <c r="F37" s="17"/>
      <c r="G37" s="79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2:36">
      <c r="B38" s="53"/>
      <c r="C38" s="17"/>
      <c r="D38" s="16"/>
      <c r="E38" s="16"/>
      <c r="F38" s="17"/>
      <c r="G38" s="79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2:36">
      <c r="B39" s="53"/>
      <c r="C39" s="17"/>
      <c r="D39" s="16"/>
      <c r="E39" s="16"/>
      <c r="F39" s="17"/>
      <c r="G39" s="79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ht="13.95" spans="2:36">
      <c r="B40" s="56"/>
      <c r="C40" s="57"/>
      <c r="D40" s="57"/>
      <c r="E40" s="57"/>
      <c r="F40" s="57"/>
      <c r="G40" s="59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ht="15.6" spans="10:36">
      <c r="J41" s="82" t="s">
        <v>30</v>
      </c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ht="15" spans="10:36">
      <c r="J42" s="83" t="s">
        <v>31</v>
      </c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ht="15" spans="1:36">
      <c r="A43" s="16"/>
      <c r="B43" s="70"/>
      <c r="C43" s="16"/>
      <c r="D43" s="16"/>
      <c r="E43" s="16"/>
      <c r="J43" s="83" t="s">
        <v>32</v>
      </c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ht="15" spans="1:36">
      <c r="A44" s="16"/>
      <c r="B44" s="16"/>
      <c r="C44" s="16"/>
      <c r="D44" s="16"/>
      <c r="E44" s="16"/>
      <c r="J44" s="83" t="s">
        <v>33</v>
      </c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ht="15" spans="1:36">
      <c r="A45" s="16"/>
      <c r="B45" s="70"/>
      <c r="C45" s="16"/>
      <c r="D45" s="16"/>
      <c r="E45" s="16"/>
      <c r="J45" s="83" t="s">
        <v>34</v>
      </c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ht="15" spans="1:36">
      <c r="A46" s="16"/>
      <c r="B46" s="16"/>
      <c r="C46" s="16"/>
      <c r="D46" s="16"/>
      <c r="E46" s="16"/>
      <c r="J46" s="83" t="s">
        <v>35</v>
      </c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ht="15" spans="1:36">
      <c r="A47" s="16"/>
      <c r="B47" s="80"/>
      <c r="C47" s="80"/>
      <c r="D47" s="17"/>
      <c r="E47" s="16"/>
      <c r="J47" s="83" t="s">
        <v>36</v>
      </c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>
      <c r="A48" s="16"/>
      <c r="B48" s="80"/>
      <c r="C48" s="80"/>
      <c r="D48" s="17"/>
      <c r="E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>
      <c r="A49" s="16"/>
      <c r="B49" s="80"/>
      <c r="C49" s="80"/>
      <c r="D49" s="17"/>
      <c r="E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>
      <c r="A50" s="16"/>
      <c r="B50" s="80"/>
      <c r="C50" s="80"/>
      <c r="D50" s="17"/>
      <c r="E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>
      <c r="A51" s="16"/>
      <c r="B51" s="80"/>
      <c r="C51" s="80"/>
      <c r="D51" s="17"/>
      <c r="E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>
      <c r="A52" s="16"/>
      <c r="B52" s="80"/>
      <c r="C52" s="80"/>
      <c r="D52" s="17"/>
      <c r="E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>
      <c r="A53" s="16"/>
      <c r="B53" s="80"/>
      <c r="C53" s="80"/>
      <c r="D53" s="39"/>
      <c r="E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>
      <c r="A54" s="16"/>
      <c r="B54" s="16"/>
      <c r="C54" s="16"/>
      <c r="D54" s="16"/>
      <c r="E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27:36"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27:36"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27:36"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27:36"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27:36"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27:36"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27:36"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27:36"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27:36"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27:36">
      <c r="AA64" s="16"/>
      <c r="AB64" s="16"/>
      <c r="AC64" s="16"/>
      <c r="AD64" s="16"/>
      <c r="AE64" s="16"/>
      <c r="AF64" s="16"/>
      <c r="AG64" s="16"/>
      <c r="AH64" s="16"/>
      <c r="AI64" s="16"/>
      <c r="AJ64" s="16"/>
    </row>
    <row r="65" spans="27:36">
      <c r="AA65" s="16"/>
      <c r="AB65" s="16"/>
      <c r="AC65" s="16"/>
      <c r="AD65" s="16"/>
      <c r="AE65" s="16"/>
      <c r="AF65" s="16"/>
      <c r="AG65" s="16"/>
      <c r="AH65" s="16"/>
      <c r="AI65" s="16"/>
      <c r="AJ65" s="16"/>
    </row>
    <row r="66" spans="27:36">
      <c r="AA66" s="16"/>
      <c r="AB66" s="16"/>
      <c r="AC66" s="16"/>
      <c r="AD66" s="16"/>
      <c r="AE66" s="16"/>
      <c r="AF66" s="16"/>
      <c r="AG66" s="16"/>
      <c r="AH66" s="16"/>
      <c r="AI66" s="16"/>
      <c r="AJ66" s="16"/>
    </row>
    <row r="67" spans="27:36">
      <c r="AA67" s="16"/>
      <c r="AB67" s="16"/>
      <c r="AC67" s="16"/>
      <c r="AD67" s="16"/>
      <c r="AE67" s="16"/>
      <c r="AF67" s="16"/>
      <c r="AG67" s="16"/>
      <c r="AH67" s="16"/>
      <c r="AI67" s="16"/>
      <c r="AJ67" s="16"/>
    </row>
    <row r="68" spans="27:36">
      <c r="AA68" s="16"/>
      <c r="AB68" s="16"/>
      <c r="AC68" s="16"/>
      <c r="AD68" s="16"/>
      <c r="AE68" s="16"/>
      <c r="AF68" s="16"/>
      <c r="AG68" s="16"/>
      <c r="AH68" s="16"/>
      <c r="AI68" s="16"/>
      <c r="AJ68" s="16"/>
    </row>
    <row r="69" spans="27:36">
      <c r="AA69" s="16"/>
      <c r="AB69" s="16"/>
      <c r="AC69" s="16"/>
      <c r="AD69" s="16"/>
      <c r="AE69" s="16"/>
      <c r="AF69" s="16"/>
      <c r="AG69" s="16"/>
      <c r="AH69" s="16"/>
      <c r="AI69" s="16"/>
      <c r="AJ69" s="16"/>
    </row>
    <row r="70" spans="27:36">
      <c r="AA70" s="16"/>
      <c r="AB70" s="16"/>
      <c r="AC70" s="16"/>
      <c r="AD70" s="16"/>
      <c r="AE70" s="16"/>
      <c r="AF70" s="16"/>
      <c r="AG70" s="16"/>
      <c r="AH70" s="16"/>
      <c r="AI70" s="16"/>
      <c r="AJ70" s="16"/>
    </row>
    <row r="71" spans="27:36">
      <c r="AA71" s="16"/>
      <c r="AB71" s="16"/>
      <c r="AC71" s="16"/>
      <c r="AD71" s="16"/>
      <c r="AE71" s="16"/>
      <c r="AF71" s="16"/>
      <c r="AG71" s="16"/>
      <c r="AH71" s="16"/>
      <c r="AI71" s="16"/>
      <c r="AJ71" s="16"/>
    </row>
    <row r="72" spans="27:36">
      <c r="AA72" s="16"/>
      <c r="AB72" s="16"/>
      <c r="AC72" s="16"/>
      <c r="AD72" s="16"/>
      <c r="AE72" s="16"/>
      <c r="AF72" s="16"/>
      <c r="AG72" s="16"/>
      <c r="AH72" s="16"/>
      <c r="AI72" s="16"/>
      <c r="AJ72" s="16"/>
    </row>
    <row r="73" spans="27:36"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27:36"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27:36"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27:36"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27:36">
      <c r="AA77" s="16"/>
      <c r="AB77" s="16"/>
      <c r="AC77" s="16"/>
      <c r="AD77" s="16"/>
      <c r="AE77" s="16"/>
      <c r="AF77" s="16"/>
      <c r="AG77" s="16"/>
      <c r="AH77" s="16"/>
      <c r="AI77" s="16"/>
      <c r="AJ77" s="16"/>
    </row>
    <row r="78" spans="27:36">
      <c r="AA78" s="16"/>
      <c r="AB78" s="16"/>
      <c r="AC78" s="16"/>
      <c r="AD78" s="16"/>
      <c r="AE78" s="16"/>
      <c r="AF78" s="16"/>
      <c r="AG78" s="16"/>
      <c r="AH78" s="16"/>
      <c r="AI78" s="16"/>
      <c r="AJ78" s="16"/>
    </row>
    <row r="79" spans="27:36">
      <c r="AA79" s="16"/>
      <c r="AB79" s="16"/>
      <c r="AC79" s="16"/>
      <c r="AD79" s="16"/>
      <c r="AE79" s="16"/>
      <c r="AF79" s="16"/>
      <c r="AG79" s="16"/>
      <c r="AH79" s="16"/>
      <c r="AI79" s="16"/>
      <c r="AJ79" s="16"/>
    </row>
    <row r="80" spans="27:36">
      <c r="AA80" s="16"/>
      <c r="AB80" s="16"/>
      <c r="AC80" s="16"/>
      <c r="AD80" s="16"/>
      <c r="AE80" s="16"/>
      <c r="AF80" s="16"/>
      <c r="AG80" s="16"/>
      <c r="AH80" s="16"/>
      <c r="AI80" s="16"/>
      <c r="AJ80" s="16"/>
    </row>
    <row r="81" spans="27:36">
      <c r="AA81" s="16"/>
      <c r="AB81" s="16"/>
      <c r="AC81" s="16"/>
      <c r="AD81" s="16"/>
      <c r="AE81" s="16"/>
      <c r="AF81" s="16"/>
      <c r="AG81" s="16"/>
      <c r="AH81" s="16"/>
      <c r="AI81" s="16"/>
      <c r="AJ81" s="16"/>
    </row>
    <row r="82" spans="27:36">
      <c r="AA82" s="16"/>
      <c r="AB82" s="16"/>
      <c r="AC82" s="16"/>
      <c r="AD82" s="16"/>
      <c r="AE82" s="16"/>
      <c r="AF82" s="16"/>
      <c r="AG82" s="16"/>
      <c r="AH82" s="16"/>
      <c r="AI82" s="16"/>
      <c r="AJ82" s="16"/>
    </row>
    <row r="83" spans="27:36">
      <c r="AA83" s="16"/>
      <c r="AB83" s="16"/>
      <c r="AC83" s="16"/>
      <c r="AD83" s="16"/>
      <c r="AE83" s="16"/>
      <c r="AF83" s="16"/>
      <c r="AG83" s="16"/>
      <c r="AH83" s="16"/>
      <c r="AI83" s="16"/>
      <c r="AJ83" s="16"/>
    </row>
    <row r="84" spans="27:36">
      <c r="AA84" s="16"/>
      <c r="AB84" s="16"/>
      <c r="AC84" s="16"/>
      <c r="AD84" s="16"/>
      <c r="AE84" s="16"/>
      <c r="AF84" s="16"/>
      <c r="AG84" s="16"/>
      <c r="AH84" s="16"/>
      <c r="AI84" s="16"/>
      <c r="AJ84" s="16"/>
    </row>
    <row r="85" spans="27:36">
      <c r="AA85" s="16"/>
      <c r="AB85" s="16"/>
      <c r="AC85" s="16"/>
      <c r="AD85" s="16"/>
      <c r="AE85" s="16"/>
      <c r="AF85" s="16"/>
      <c r="AG85" s="16"/>
      <c r="AH85" s="16"/>
      <c r="AI85" s="16"/>
      <c r="AJ85" s="16"/>
    </row>
    <row r="86" spans="27:36">
      <c r="AA86" s="16"/>
      <c r="AB86" s="16"/>
      <c r="AC86" s="16"/>
      <c r="AD86" s="16"/>
      <c r="AE86" s="16"/>
      <c r="AF86" s="16"/>
      <c r="AG86" s="16"/>
      <c r="AH86" s="16"/>
      <c r="AI86" s="16"/>
      <c r="AJ86" s="16"/>
    </row>
    <row r="87" spans="27:36">
      <c r="AA87" s="16"/>
      <c r="AB87" s="16"/>
      <c r="AC87" s="16"/>
      <c r="AD87" s="16"/>
      <c r="AE87" s="16"/>
      <c r="AF87" s="16"/>
      <c r="AG87" s="16"/>
      <c r="AH87" s="16"/>
      <c r="AI87" s="16"/>
      <c r="AJ87" s="16"/>
    </row>
    <row r="88" spans="27:36">
      <c r="AA88" s="16"/>
      <c r="AB88" s="16"/>
      <c r="AC88" s="16"/>
      <c r="AD88" s="16"/>
      <c r="AE88" s="16"/>
      <c r="AF88" s="16"/>
      <c r="AG88" s="16"/>
      <c r="AH88" s="16"/>
      <c r="AI88" s="16"/>
      <c r="AJ88" s="16"/>
    </row>
    <row r="89" spans="27:36">
      <c r="AA89" s="16"/>
      <c r="AB89" s="16"/>
      <c r="AC89" s="16"/>
      <c r="AD89" s="16"/>
      <c r="AE89" s="16"/>
      <c r="AF89" s="16"/>
      <c r="AG89" s="16"/>
      <c r="AH89" s="16"/>
      <c r="AI89" s="16"/>
      <c r="AJ89" s="16"/>
    </row>
    <row r="90" spans="27:36">
      <c r="AA90" s="16"/>
      <c r="AB90" s="16"/>
      <c r="AC90" s="16"/>
      <c r="AD90" s="16"/>
      <c r="AE90" s="16"/>
      <c r="AF90" s="16"/>
      <c r="AG90" s="16"/>
      <c r="AH90" s="16"/>
      <c r="AI90" s="16"/>
      <c r="AJ90" s="16"/>
    </row>
    <row r="91" spans="27:36">
      <c r="AA91" s="16"/>
      <c r="AB91" s="16"/>
      <c r="AC91" s="16"/>
      <c r="AD91" s="16"/>
      <c r="AE91" s="16"/>
      <c r="AF91" s="16"/>
      <c r="AG91" s="16"/>
      <c r="AH91" s="16"/>
      <c r="AI91" s="16"/>
      <c r="AJ91" s="16"/>
    </row>
    <row r="92" spans="27:36">
      <c r="AA92" s="16"/>
      <c r="AB92" s="16"/>
      <c r="AC92" s="16"/>
      <c r="AD92" s="16"/>
      <c r="AE92" s="16"/>
      <c r="AF92" s="16"/>
      <c r="AG92" s="16"/>
      <c r="AH92" s="16"/>
      <c r="AI92" s="16"/>
      <c r="AJ92" s="16"/>
    </row>
    <row r="93" spans="27:36">
      <c r="AA93" s="16"/>
      <c r="AB93" s="16"/>
      <c r="AC93" s="16"/>
      <c r="AD93" s="16"/>
      <c r="AE93" s="16"/>
      <c r="AF93" s="16"/>
      <c r="AG93" s="16"/>
      <c r="AH93" s="16"/>
      <c r="AI93" s="16"/>
      <c r="AJ93" s="16"/>
    </row>
    <row r="94" spans="27:36">
      <c r="AA94" s="16"/>
      <c r="AB94" s="16"/>
      <c r="AC94" s="16"/>
      <c r="AD94" s="16"/>
      <c r="AE94" s="16"/>
      <c r="AF94" s="16"/>
      <c r="AG94" s="16"/>
      <c r="AH94" s="16"/>
      <c r="AI94" s="16"/>
      <c r="AJ94" s="16"/>
    </row>
    <row r="95" spans="27:36">
      <c r="AA95" s="16"/>
      <c r="AB95" s="16"/>
      <c r="AC95" s="16"/>
      <c r="AD95" s="16"/>
      <c r="AE95" s="16"/>
      <c r="AF95" s="16"/>
      <c r="AG95" s="16"/>
      <c r="AH95" s="16"/>
      <c r="AI95" s="16"/>
      <c r="AJ95" s="16"/>
    </row>
    <row r="96" spans="27:36">
      <c r="AA96" s="16"/>
      <c r="AB96" s="16"/>
      <c r="AC96" s="16"/>
      <c r="AD96" s="16"/>
      <c r="AE96" s="16"/>
      <c r="AF96" s="16"/>
      <c r="AG96" s="16"/>
      <c r="AH96" s="16"/>
      <c r="AI96" s="16"/>
      <c r="AJ96" s="16"/>
    </row>
    <row r="97" spans="27:36">
      <c r="AA97" s="16"/>
      <c r="AB97" s="16"/>
      <c r="AC97" s="16"/>
      <c r="AD97" s="16"/>
      <c r="AE97" s="16"/>
      <c r="AF97" s="16"/>
      <c r="AG97" s="16"/>
      <c r="AH97" s="16"/>
      <c r="AI97" s="16"/>
      <c r="AJ97" s="16"/>
    </row>
    <row r="98" spans="27:36">
      <c r="AA98" s="16"/>
      <c r="AB98" s="16"/>
      <c r="AC98" s="16"/>
      <c r="AD98" s="16"/>
      <c r="AE98" s="16"/>
      <c r="AF98" s="16"/>
      <c r="AG98" s="16"/>
      <c r="AH98" s="16"/>
      <c r="AI98" s="16"/>
      <c r="AJ98" s="16"/>
    </row>
    <row r="99" spans="27:36">
      <c r="AA99" s="16"/>
      <c r="AB99" s="16"/>
      <c r="AC99" s="16"/>
      <c r="AD99" s="16"/>
      <c r="AE99" s="16"/>
      <c r="AF99" s="16"/>
      <c r="AG99" s="16"/>
      <c r="AH99" s="16"/>
      <c r="AI99" s="16"/>
      <c r="AJ99" s="16"/>
    </row>
    <row r="100" spans="27:36"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</row>
    <row r="101" spans="27:36"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</row>
    <row r="102" spans="27:36"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</row>
    <row r="103" spans="27:36"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</row>
    <row r="104" spans="27:36"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</row>
    <row r="105" spans="27:36"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</row>
    <row r="106" spans="27:36"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</row>
    <row r="107" spans="27:36"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</row>
    <row r="108" spans="27:36"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</row>
    <row r="109" spans="27:36"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</row>
    <row r="110" spans="27:36"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</row>
    <row r="111" spans="27:36"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</row>
    <row r="112" spans="27:36"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</row>
    <row r="113" spans="27:36"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</row>
    <row r="114" spans="27:36"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</row>
    <row r="115" spans="27:36"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</row>
    <row r="116" spans="27:36"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</row>
    <row r="117" spans="27:36"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</row>
    <row r="118" spans="27:36"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</row>
    <row r="119" spans="27:36"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</row>
    <row r="120" spans="27:36"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</row>
    <row r="121" spans="27:36"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</row>
    <row r="122" spans="27:36"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</row>
    <row r="123" spans="27:36"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</row>
    <row r="124" spans="27:36"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</row>
    <row r="125" spans="27:36"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</row>
    <row r="126" spans="27:36"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</row>
    <row r="127" spans="27:36"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</row>
    <row r="128" spans="27:36"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</row>
    <row r="129" spans="27:36"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</row>
    <row r="130" spans="27:36"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</row>
    <row r="131" spans="27:36"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</row>
    <row r="132" spans="27:36"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</row>
    <row r="133" spans="27:36"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</row>
    <row r="134" spans="27:36"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</row>
    <row r="135" spans="27:36"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</row>
    <row r="136" spans="27:36"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</row>
    <row r="137" spans="27:36"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</row>
    <row r="138" spans="27:36"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</row>
    <row r="139" spans="27:36"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</row>
    <row r="140" spans="27:36"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</row>
    <row r="141" spans="27:36"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</row>
    <row r="142" spans="27:36"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</row>
    <row r="143" spans="27:36"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</row>
    <row r="144" spans="27:36"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</row>
    <row r="145" spans="27:36"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</row>
    <row r="146" spans="27:36"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</row>
    <row r="147" spans="27:36"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</row>
    <row r="148" spans="27:36"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</row>
    <row r="149" spans="27:36"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</row>
    <row r="150" spans="27:36"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</row>
    <row r="151" spans="27:36"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</row>
    <row r="152" spans="27:36"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</row>
    <row r="153" spans="27:36"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</row>
    <row r="154" spans="27:36"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</row>
    <row r="155" spans="27:36"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</row>
    <row r="156" spans="27:36"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</row>
    <row r="157" spans="27:36"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</row>
    <row r="158" spans="27:36"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</row>
    <row r="159" spans="27:36"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</row>
    <row r="160" spans="27:36"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</row>
    <row r="161" spans="27:36"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</row>
    <row r="162" spans="27:36"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</row>
    <row r="163" spans="27:36"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</row>
    <row r="164" spans="27:36"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</row>
    <row r="165" spans="27:36"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</row>
    <row r="166" spans="27:36"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</row>
    <row r="167" spans="27:36"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</row>
    <row r="168" spans="27:36"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</row>
    <row r="169" spans="27:36"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</row>
    <row r="170" spans="27:36"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</row>
    <row r="171" spans="27:36"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</row>
    <row r="172" spans="27:36"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</row>
    <row r="173" spans="27:36"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</row>
    <row r="174" spans="27:36"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</row>
    <row r="175" spans="27:36"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</row>
    <row r="176" spans="27:36"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</row>
    <row r="177" spans="27:36"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27:36"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27:36"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27:36"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27:36"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</row>
    <row r="182" spans="27:36"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</row>
    <row r="183" spans="27:36"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</row>
    <row r="184" spans="27:36"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</row>
    <row r="185" spans="27:36"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</row>
    <row r="186" spans="27:36"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</row>
    <row r="187" spans="27:36"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</row>
    <row r="188" spans="27:36"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</row>
    <row r="189" spans="27:36"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</row>
    <row r="190" spans="27:36"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</row>
    <row r="191" spans="27:36"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</row>
    <row r="192" spans="27:36"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</row>
    <row r="193" spans="27:36"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</row>
    <row r="194" spans="27:36"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</row>
    <row r="195" spans="27:36"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</row>
    <row r="196" spans="27:36"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</row>
    <row r="197" spans="27:36"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</row>
    <row r="198" spans="27:36"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</row>
    <row r="199" spans="27:36"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</row>
    <row r="200" spans="27:36"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</row>
    <row r="201" spans="27:36"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</row>
    <row r="202" spans="27:36"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</row>
    <row r="203" spans="27:36"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</row>
    <row r="204" spans="27:36"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</row>
    <row r="205" spans="27:36"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</row>
    <row r="206" spans="27:36"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</row>
    <row r="207" spans="27:36"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</row>
    <row r="208" spans="27:36"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</row>
    <row r="209" spans="27:36"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</row>
    <row r="210" spans="27:36"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</row>
    <row r="211" spans="27:36"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</row>
    <row r="212" spans="27:36"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</row>
    <row r="213" spans="27:36"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</row>
    <row r="214" spans="27:36"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</row>
    <row r="215" spans="27:36"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</row>
    <row r="216" spans="27:36"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</row>
    <row r="217" spans="27:36"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</row>
    <row r="218" spans="27:36"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</row>
    <row r="219" spans="27:36"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</row>
    <row r="220" spans="27:36"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</row>
    <row r="221" spans="27:36"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</row>
    <row r="222" spans="27:36"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</row>
    <row r="223" spans="27:36"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</row>
    <row r="224" spans="27:36"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</row>
    <row r="225" spans="27:36"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</row>
    <row r="226" spans="27:36"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</row>
    <row r="227" spans="27:36"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</row>
    <row r="228" spans="27:36"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</row>
    <row r="229" spans="27:36"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</row>
    <row r="230" spans="27:36"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</row>
    <row r="231" spans="27:36"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</row>
    <row r="232" spans="27:36"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</row>
    <row r="233" spans="27:36"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</row>
    <row r="234" spans="27:36"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</row>
    <row r="235" spans="27:36"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</row>
    <row r="236" spans="27:36"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</row>
    <row r="237" spans="27:36"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</row>
    <row r="238" spans="27:36"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</row>
    <row r="239" spans="27:36"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</row>
    <row r="240" spans="27:36"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</row>
    <row r="241" spans="27:36"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</row>
    <row r="242" spans="27:36"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</row>
    <row r="243" spans="27:36"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</row>
    <row r="244" spans="27:36"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</row>
    <row r="245" spans="27:36"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</row>
    <row r="246" spans="27:36"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</row>
    <row r="247" spans="27:36"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</row>
    <row r="248" spans="27:36"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</row>
    <row r="249" spans="27:36"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</row>
    <row r="250" spans="27:36"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</row>
    <row r="251" spans="27:36"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</row>
    <row r="252" spans="27:36"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</row>
    <row r="253" spans="27:36"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</row>
    <row r="254" spans="27:36"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</row>
    <row r="255" spans="27:36"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</row>
    <row r="256" spans="27:36"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</row>
    <row r="257" spans="27:36"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</row>
    <row r="258" spans="27:36"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</row>
    <row r="259" spans="27:36"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</row>
    <row r="260" spans="27:36"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</row>
    <row r="261" spans="27:36"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</row>
    <row r="262" spans="27:36"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</row>
    <row r="263" spans="27:36"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</row>
    <row r="264" spans="27:36"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</row>
    <row r="265" spans="27:36"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</row>
    <row r="266" spans="27:36"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</row>
    <row r="267" spans="27:36"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</row>
    <row r="268" spans="27:36"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</row>
    <row r="269" spans="27:36"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</row>
    <row r="270" spans="27:36"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</row>
    <row r="271" spans="27:36"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</row>
    <row r="272" spans="27:36"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</row>
    <row r="273" spans="27:36"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</row>
    <row r="274" spans="27:36"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</row>
    <row r="275" spans="27:36"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</row>
    <row r="276" spans="27:36"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</row>
    <row r="277" spans="27:36"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</row>
    <row r="278" spans="27:36"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</row>
    <row r="279" spans="27:36"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</row>
    <row r="280" spans="27:36"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</row>
    <row r="281" spans="27:36"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</row>
    <row r="282" spans="27:36"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</row>
    <row r="283" spans="27:36"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</row>
    <row r="284" spans="27:36"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</row>
    <row r="285" spans="27:36"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</row>
    <row r="286" spans="27:36"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</row>
    <row r="287" spans="27:36"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</row>
    <row r="288" spans="27:36"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</row>
    <row r="289" spans="27:36"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</row>
    <row r="290" spans="27:36"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</row>
    <row r="291" spans="27:36"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</row>
    <row r="292" spans="27:36"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</row>
    <row r="293" spans="27:36"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</row>
    <row r="294" spans="27:36"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</row>
    <row r="295" spans="27:36"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</row>
    <row r="296" spans="27:36"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</row>
  </sheetData>
  <mergeCells count="1">
    <mergeCell ref="I34:U35"/>
  </mergeCells>
  <conditionalFormatting sqref="D47">
    <cfRule type="cellIs" dxfId="0" priority="1" stopIfTrue="1" operator="notBetween">
      <formula>-32768</formula>
      <formula>32767</formula>
    </cfRule>
    <cfRule type="expression" dxfId="1" priority="2" stopIfTrue="1">
      <formula>D43</formula>
    </cfRule>
  </conditionalFormatting>
  <conditionalFormatting sqref="D48">
    <cfRule type="cellIs" dxfId="2" priority="3" stopIfTrue="1" operator="notBetween">
      <formula>-32768</formula>
      <formula>32767</formula>
    </cfRule>
    <cfRule type="expression" dxfId="3" priority="4" stopIfTrue="1">
      <formula>D43</formula>
    </cfRule>
  </conditionalFormatting>
  <conditionalFormatting sqref="D49">
    <cfRule type="cellIs" dxfId="4" priority="5" stopIfTrue="1" operator="notBetween">
      <formula>-32768</formula>
      <formula>32767</formula>
    </cfRule>
    <cfRule type="expression" dxfId="5" priority="6" stopIfTrue="1">
      <formula>D43</formula>
    </cfRule>
  </conditionalFormatting>
  <conditionalFormatting sqref="D50">
    <cfRule type="cellIs" dxfId="6" priority="7" stopIfTrue="1" operator="notBetween">
      <formula>-32768</formula>
      <formula>32767</formula>
    </cfRule>
    <cfRule type="expression" dxfId="7" priority="8" stopIfTrue="1">
      <formula>D43</formula>
    </cfRule>
  </conditionalFormatting>
  <conditionalFormatting sqref="D51">
    <cfRule type="cellIs" dxfId="8" priority="9" stopIfTrue="1" operator="notBetween">
      <formula>0</formula>
      <formula>32767</formula>
    </cfRule>
    <cfRule type="expression" dxfId="9" priority="10" stopIfTrue="1">
      <formula>D43</formula>
    </cfRule>
  </conditionalFormatting>
  <conditionalFormatting sqref="D52">
    <cfRule type="cellIs" dxfId="10" priority="11" stopIfTrue="1" operator="notBetween">
      <formula>-32768</formula>
      <formula>32767</formula>
    </cfRule>
    <cfRule type="expression" dxfId="11" priority="12" stopIfTrue="1">
      <formula>D43</formula>
    </cfRule>
  </conditionalFormatting>
  <conditionalFormatting sqref="D53">
    <cfRule type="cellIs" dxfId="12" priority="13" stopIfTrue="1" operator="notBetween">
      <formula>-12.8</formula>
      <formula>12.7</formula>
    </cfRule>
    <cfRule type="expression" dxfId="13" priority="14" stopIfTrue="1">
      <formula>D43</formula>
    </cfRule>
  </conditionalFormatting>
  <conditionalFormatting sqref="E56">
    <cfRule type="cellIs" dxfId="14" priority="15" stopIfTrue="1" operator="notBetween">
      <formula>-32768</formula>
      <formula>32767</formula>
    </cfRule>
  </conditionalFormatting>
  <conditionalFormatting sqref="U4:V33 U36:V39 V34:V35">
    <cfRule type="cellIs" dxfId="15" priority="16" stopIfTrue="1" operator="notBetween">
      <formula>-32768</formula>
      <formula>32767</formula>
    </cfRule>
  </conditionalFormatting>
  <dataValidations count="3">
    <dataValidation type="list" allowBlank="1" showInputMessage="1" showErrorMessage="1" sqref="D7 D9">
      <formula1>Tolerance</formula1>
    </dataValidation>
    <dataValidation type="list" allowBlank="1" showInputMessage="1" showErrorMessage="1" sqref="D26">
      <formula1>$F$4:$F$34</formula1>
    </dataValidation>
    <dataValidation type="list" allowBlank="1" showInputMessage="1" showErrorMessage="1" sqref="D3:D4">
      <formula1>$F$4:$F$39</formula1>
    </dataValidation>
  </dataValidations>
  <pageMargins left="0.25" right="0.25" top="0.25" bottom="0.25" header="0" footer="0"/>
  <pageSetup paperSize="1" scale="75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AA68"/>
  <sheetViews>
    <sheetView zoomScale="70" zoomScaleNormal="70" workbookViewId="0">
      <selection activeCell="C10" sqref="C10"/>
    </sheetView>
  </sheetViews>
  <sheetFormatPr defaultColWidth="9" defaultRowHeight="13.2"/>
  <cols>
    <col min="3" max="3" width="10.4259259259259" customWidth="1"/>
    <col min="4" max="4" width="10.5740740740741" customWidth="1"/>
    <col min="5" max="5" width="10" customWidth="1"/>
    <col min="6" max="6" width="10.287037037037" customWidth="1"/>
    <col min="7" max="7" width="10.5740740740741" customWidth="1"/>
    <col min="26" max="27" width="10.5740740740741" customWidth="1"/>
  </cols>
  <sheetData>
    <row r="2" spans="7:18">
      <c r="G2" t="s">
        <v>37</v>
      </c>
      <c r="O2" t="s">
        <v>38</v>
      </c>
      <c r="P2" t="s">
        <v>38</v>
      </c>
      <c r="Q2" t="s">
        <v>39</v>
      </c>
      <c r="R2" t="s">
        <v>39</v>
      </c>
    </row>
    <row r="3" spans="15:18">
      <c r="O3" t="s">
        <v>40</v>
      </c>
      <c r="P3" t="s">
        <v>41</v>
      </c>
      <c r="Q3" t="s">
        <v>40</v>
      </c>
      <c r="R3" t="s">
        <v>41</v>
      </c>
    </row>
    <row r="4" spans="3:27">
      <c r="C4" s="48" t="s">
        <v>42</v>
      </c>
      <c r="D4" s="48" t="s">
        <v>43</v>
      </c>
      <c r="G4" t="s">
        <v>44</v>
      </c>
      <c r="H4" t="s">
        <v>45</v>
      </c>
      <c r="I4" t="s">
        <v>46</v>
      </c>
      <c r="K4" t="s">
        <v>47</v>
      </c>
      <c r="T4" t="s">
        <v>48</v>
      </c>
      <c r="U4" t="s">
        <v>49</v>
      </c>
      <c r="W4" t="s">
        <v>50</v>
      </c>
      <c r="X4" t="s">
        <v>51</v>
      </c>
      <c r="Z4" t="s">
        <v>52</v>
      </c>
      <c r="AA4" t="s">
        <v>53</v>
      </c>
    </row>
    <row r="5" spans="3:27">
      <c r="C5" s="8">
        <f>Accuracy!F4</f>
        <v>-40</v>
      </c>
      <c r="D5" s="8">
        <f>Accuracy!G4</f>
        <v>188500</v>
      </c>
      <c r="G5" s="40">
        <f>1/($D$53+$E$53*LN(D5)+$F$53*LN(D5)^3)-273.15</f>
        <v>-40.0000000000001</v>
      </c>
      <c r="H5" s="49">
        <f>(G5)/(C5)-1</f>
        <v>0</v>
      </c>
      <c r="I5" s="29">
        <f>G5-C5</f>
        <v>-5.6843418860808e-14</v>
      </c>
      <c r="K5">
        <f>LN(D5/$D$18)*(C5+273.15)*($C$18+273.15)/($C$18-C5)</f>
        <v>3140.42764597615</v>
      </c>
      <c r="L5">
        <f>$D$18*EXP(K5*($C$18-C5)/(($C$18+273.15)*(C5+273.15)))</f>
        <v>188500</v>
      </c>
      <c r="O5" s="32">
        <f>$D$18*(1-Accuracy!$D$7)*EXP(K5*(1-Accuracy!$D$9)*($C$18-C5)/(($C$18+273.15)*(C5+273.15)))</f>
        <v>181214.704666179</v>
      </c>
      <c r="P5" s="32">
        <f>$D$18*(1-Accuracy!$D$7)*EXP(K5*(1+Accuracy!$D$9)*($C$18-C5)/(($C$18+273.15)*(C5+273.15)))</f>
        <v>192176.227029437</v>
      </c>
      <c r="Q5" s="32">
        <f>$D$18*(1+Accuracy!$D$7)*EXP(K5*(1-Accuracy!$D$9)*($C$18-C5)/(($C$18+273.15)*(C5+273.15)))</f>
        <v>184875.607790749</v>
      </c>
      <c r="R5" s="32">
        <f>$D$18*(1+Accuracy!$D$7)*EXP(K5*(1+Accuracy!$D$9)*($C$18-C5)/(($C$18+273.15)*(C5+273.15)))</f>
        <v>196058.575050233</v>
      </c>
      <c r="T5" s="32">
        <f>MIN(O5:R5)</f>
        <v>181214.704666179</v>
      </c>
      <c r="U5" s="32">
        <f>MAX(O5:R5)</f>
        <v>196058.575050233</v>
      </c>
      <c r="V5" s="32"/>
      <c r="W5" s="36">
        <f t="shared" ref="W5:W40" si="0">T5/D5-1</f>
        <v>-0.038648781611781</v>
      </c>
      <c r="X5" s="36">
        <f t="shared" ref="X5:X40" si="1">U5/D5-1</f>
        <v>0.0400985413805484</v>
      </c>
      <c r="Y5" s="36"/>
      <c r="Z5" s="29">
        <f t="shared" ref="Z5:Z40" si="2">-(1/($D$53+$E$53*LN(T5)+$F$53*LN(T5)^3)-273.15-C5)</f>
        <v>-0.724931747261166</v>
      </c>
      <c r="AA5" s="29">
        <f t="shared" ref="AA5:AA40" si="3">-(1/($D$53+$E$53*LN(U5)+$F$53*LN(U5)^3)-273.15-C5)</f>
        <v>0.719815193607218</v>
      </c>
    </row>
    <row r="6" spans="3:27">
      <c r="C6" s="8">
        <f>Accuracy!F5</f>
        <v>-35</v>
      </c>
      <c r="D6" s="8">
        <f>Accuracy!G5</f>
        <v>144100</v>
      </c>
      <c r="G6" s="40">
        <f t="shared" ref="G6:G40" si="4">1/($D$53+$E$53*LN(D6)+$F$53*LN(D6)^3)-273.15</f>
        <v>-34.993668573189</v>
      </c>
      <c r="H6" s="49">
        <f t="shared" ref="H6:H12" si="5">(G6)/(C6)-1</f>
        <v>-0.000180897908886202</v>
      </c>
      <c r="I6" s="29">
        <f t="shared" ref="I6:I40" si="6">G6-C6</f>
        <v>0.00633142681101617</v>
      </c>
      <c r="K6">
        <f t="shared" ref="K6:K40" si="7">LN(D6/$D$18)*(C6+273.15)*($C$18+273.15)/($C$18-C6)</f>
        <v>3157.23816662783</v>
      </c>
      <c r="L6">
        <f t="shared" ref="L6:L40" si="8">$D$18*EXP(K6*($C$18-C6)/(($C$18+273.15)*(C6+273.15)))</f>
        <v>144100</v>
      </c>
      <c r="O6" s="32">
        <f>$D$18*(1-Accuracy!$D$7)*EXP(K6*(1-Accuracy!$D$9)*($C$18-C6)/(($C$18+273.15)*(C6+273.15)))</f>
        <v>138903.291037186</v>
      </c>
      <c r="P6" s="32">
        <f>$D$18*(1-Accuracy!$D$7)*EXP(K6*(1+Accuracy!$D$9)*($C$18-C6)/(($C$18+273.15)*(C6+273.15)))</f>
        <v>146516.256951404</v>
      </c>
      <c r="Q6" s="32">
        <f>$D$18*(1+Accuracy!$D$7)*EXP(K6*(1-Accuracy!$D$9)*($C$18-C6)/(($C$18+273.15)*(C6+273.15)))</f>
        <v>141709.418128846</v>
      </c>
      <c r="R6" s="32">
        <f>$D$18*(1+Accuracy!$D$7)*EXP(K6*(1+Accuracy!$D$9)*($C$18-C6)/(($C$18+273.15)*(C6+273.15)))</f>
        <v>149476.181334261</v>
      </c>
      <c r="T6" s="32">
        <f t="shared" ref="T6:T40" si="9">MIN(O6:R6)</f>
        <v>138903.291037186</v>
      </c>
      <c r="U6" s="32">
        <f t="shared" ref="U6:U40" si="10">MAX(O6:R6)</f>
        <v>149476.181334261</v>
      </c>
      <c r="V6" s="32"/>
      <c r="W6" s="36">
        <f t="shared" si="0"/>
        <v>-0.0360632127884407</v>
      </c>
      <c r="X6" s="36">
        <f t="shared" si="1"/>
        <v>0.0373086837908476</v>
      </c>
      <c r="Y6" s="36"/>
      <c r="Z6" s="29">
        <f t="shared" si="2"/>
        <v>-0.703237611194368</v>
      </c>
      <c r="AA6" s="29">
        <f t="shared" si="3"/>
        <v>0.685689701861349</v>
      </c>
    </row>
    <row r="7" spans="3:27">
      <c r="C7" s="8">
        <f>Accuracy!F6</f>
        <v>-30</v>
      </c>
      <c r="D7" s="8">
        <f>Accuracy!G6</f>
        <v>111300</v>
      </c>
      <c r="G7" s="40">
        <f t="shared" si="4"/>
        <v>-30.028311490318</v>
      </c>
      <c r="H7" s="49">
        <f t="shared" si="5"/>
        <v>0.000943716343934309</v>
      </c>
      <c r="I7" s="29">
        <f t="shared" si="6"/>
        <v>-0.0283114903180319</v>
      </c>
      <c r="K7">
        <f t="shared" si="7"/>
        <v>3176.13762592968</v>
      </c>
      <c r="L7">
        <f t="shared" si="8"/>
        <v>111300</v>
      </c>
      <c r="O7" s="32">
        <f>$D$18*(1-Accuracy!$D$7)*EXP(K7*(1-Accuracy!$D$9)*($C$18-C7)/(($C$18+273.15)*(C7+273.15)))</f>
        <v>107563.619387612</v>
      </c>
      <c r="P7" s="32">
        <f>$D$18*(1-Accuracy!$D$7)*EXP(K7*(1+Accuracy!$D$9)*($C$18-C7)/(($C$18+273.15)*(C7+273.15)))</f>
        <v>112874.362522598</v>
      </c>
      <c r="Q7" s="32">
        <f>$D$18*(1+Accuracy!$D$7)*EXP(K7*(1-Accuracy!$D$9)*($C$18-C7)/(($C$18+273.15)*(C7+273.15)))</f>
        <v>109736.621799482</v>
      </c>
      <c r="R7" s="32">
        <f>$D$18*(1+Accuracy!$D$7)*EXP(K7*(1+Accuracy!$D$9)*($C$18-C7)/(($C$18+273.15)*(C7+273.15)))</f>
        <v>115154.65267457</v>
      </c>
      <c r="T7" s="32">
        <f t="shared" si="9"/>
        <v>107563.619387612</v>
      </c>
      <c r="U7" s="32">
        <f t="shared" si="10"/>
        <v>115154.65267457</v>
      </c>
      <c r="V7" s="32"/>
      <c r="W7" s="36">
        <f t="shared" si="0"/>
        <v>-0.0335703559064552</v>
      </c>
      <c r="X7" s="36">
        <f t="shared" si="1"/>
        <v>0.0346329979745688</v>
      </c>
      <c r="Y7" s="36"/>
      <c r="Z7" s="29">
        <f t="shared" si="2"/>
        <v>-0.639641626476532</v>
      </c>
      <c r="AA7" s="29">
        <f t="shared" si="3"/>
        <v>0.691600141716862</v>
      </c>
    </row>
    <row r="8" spans="3:27">
      <c r="C8" s="8">
        <f>Accuracy!F7</f>
        <v>-25</v>
      </c>
      <c r="D8" s="8">
        <f>Accuracy!G7</f>
        <v>86430</v>
      </c>
      <c r="G8" s="40">
        <f t="shared" si="4"/>
        <v>-25.0156779762526</v>
      </c>
      <c r="H8" s="49">
        <f t="shared" si="5"/>
        <v>0.000627119050102376</v>
      </c>
      <c r="I8" s="29">
        <f t="shared" si="6"/>
        <v>-0.0156779762525616</v>
      </c>
      <c r="K8">
        <f t="shared" si="7"/>
        <v>3191.3823893697</v>
      </c>
      <c r="L8">
        <f t="shared" si="8"/>
        <v>86430</v>
      </c>
      <c r="O8" s="32">
        <f>$D$18*(1-Accuracy!$D$7)*EXP(K8*(1-Accuracy!$D$9)*($C$18-C8)/(($C$18+273.15)*(C8+273.15)))</f>
        <v>83740.0204218725</v>
      </c>
      <c r="P8" s="32">
        <f>$D$18*(1-Accuracy!$D$7)*EXP(K8*(1+Accuracy!$D$9)*($C$18-C8)/(($C$18+273.15)*(C8+273.15)))</f>
        <v>87431.1826006871</v>
      </c>
      <c r="Q8" s="32">
        <f>$D$18*(1+Accuracy!$D$7)*EXP(K8*(1-Accuracy!$D$9)*($C$18-C8)/(($C$18+273.15)*(C8+273.15)))</f>
        <v>85431.7380061528</v>
      </c>
      <c r="R8" s="32">
        <f>$D$18*(1+Accuracy!$D$7)*EXP(K8*(1+Accuracy!$D$9)*($C$18-C8)/(($C$18+273.15)*(C8+273.15)))</f>
        <v>89197.4691178727</v>
      </c>
      <c r="T8" s="32">
        <f t="shared" si="9"/>
        <v>83740.0204218725</v>
      </c>
      <c r="U8" s="32">
        <f t="shared" si="10"/>
        <v>89197.4691178727</v>
      </c>
      <c r="V8" s="32"/>
      <c r="W8" s="36">
        <f t="shared" si="0"/>
        <v>-0.0311232162226945</v>
      </c>
      <c r="X8" s="36">
        <f t="shared" si="1"/>
        <v>0.0320197745906823</v>
      </c>
      <c r="Y8" s="36"/>
      <c r="Z8" s="29">
        <f t="shared" si="2"/>
        <v>-0.621876119545846</v>
      </c>
      <c r="AA8" s="29">
        <f t="shared" si="3"/>
        <v>0.648780431742551</v>
      </c>
    </row>
    <row r="9" spans="3:27">
      <c r="C9" s="8">
        <f>Accuracy!F8</f>
        <v>-20</v>
      </c>
      <c r="D9" s="8">
        <f>Accuracy!G8</f>
        <v>67770</v>
      </c>
      <c r="G9" s="40">
        <f t="shared" si="4"/>
        <v>-20.0472928044244</v>
      </c>
      <c r="H9" s="49">
        <f t="shared" si="5"/>
        <v>0.00236464022122074</v>
      </c>
      <c r="I9" s="29">
        <f t="shared" si="6"/>
        <v>-0.0472928044244156</v>
      </c>
      <c r="K9">
        <f t="shared" si="7"/>
        <v>3209.49374995481</v>
      </c>
      <c r="L9">
        <f t="shared" si="8"/>
        <v>67770</v>
      </c>
      <c r="O9" s="32">
        <f>$D$18*(1-Accuracy!$D$7)*EXP(K9*(1-Accuracy!$D$9)*($C$18-C9)/(($C$18+273.15)*(C9+273.15)))</f>
        <v>65820.671006581</v>
      </c>
      <c r="P9" s="32">
        <f>$D$18*(1-Accuracy!$D$7)*EXP(K9*(1+Accuracy!$D$9)*($C$18-C9)/(($C$18+273.15)*(C9+273.15)))</f>
        <v>68388.4963561058</v>
      </c>
      <c r="Q9" s="32">
        <f>$D$18*(1+Accuracy!$D$7)*EXP(K9*(1-Accuracy!$D$9)*($C$18-C9)/(($C$18+273.15)*(C9+273.15)))</f>
        <v>67150.3815319665</v>
      </c>
      <c r="R9" s="32">
        <f>$D$18*(1+Accuracy!$D$7)*EXP(K9*(1+Accuracy!$D$9)*($C$18-C9)/(($C$18+273.15)*(C9+273.15)))</f>
        <v>69770.0821410776</v>
      </c>
      <c r="T9" s="32">
        <f t="shared" si="9"/>
        <v>65820.671006581</v>
      </c>
      <c r="U9" s="32">
        <f t="shared" si="10"/>
        <v>69770.0821410776</v>
      </c>
      <c r="V9" s="32"/>
      <c r="W9" s="36">
        <f t="shared" si="0"/>
        <v>-0.0287638924807286</v>
      </c>
      <c r="X9" s="36">
        <f t="shared" si="1"/>
        <v>0.0295127953530705</v>
      </c>
      <c r="Y9" s="36"/>
      <c r="Z9" s="29">
        <f t="shared" si="2"/>
        <v>-0.558967981709714</v>
      </c>
      <c r="AA9" s="29">
        <f t="shared" si="3"/>
        <v>0.649302331056504</v>
      </c>
    </row>
    <row r="10" spans="3:27">
      <c r="C10" s="8">
        <f>Accuracy!F9</f>
        <v>-15</v>
      </c>
      <c r="D10" s="8">
        <f>Accuracy!G9</f>
        <v>53410</v>
      </c>
      <c r="G10" s="40">
        <f t="shared" si="4"/>
        <v>-15.0359590764278</v>
      </c>
      <c r="H10" s="49">
        <f t="shared" si="5"/>
        <v>0.00239727176185633</v>
      </c>
      <c r="I10" s="29">
        <f t="shared" si="6"/>
        <v>-0.0359590764278437</v>
      </c>
      <c r="K10">
        <f t="shared" si="7"/>
        <v>3223.80531601859</v>
      </c>
      <c r="L10">
        <f t="shared" si="8"/>
        <v>53410</v>
      </c>
      <c r="O10" s="32">
        <f>$D$18*(1-Accuracy!$D$7)*EXP(K10*(1-Accuracy!$D$9)*($C$18-C10)/(($C$18+273.15)*(C10+273.15)))</f>
        <v>51997.3902324565</v>
      </c>
      <c r="P10" s="32">
        <f>$D$18*(1-Accuracy!$D$7)*EXP(K10*(1+Accuracy!$D$9)*($C$18-C10)/(($C$18+273.15)*(C10+273.15)))</f>
        <v>53769.2524242272</v>
      </c>
      <c r="Q10" s="32">
        <f>$D$18*(1+Accuracy!$D$7)*EXP(K10*(1-Accuracy!$D$9)*($C$18-C10)/(($C$18+273.15)*(C10+273.15)))</f>
        <v>53047.842560385</v>
      </c>
      <c r="R10" s="32">
        <f>$D$18*(1+Accuracy!$D$7)*EXP(K10*(1+Accuracy!$D$9)*($C$18-C10)/(($C$18+273.15)*(C10+273.15)))</f>
        <v>54855.499947949</v>
      </c>
      <c r="T10" s="32">
        <f t="shared" si="9"/>
        <v>51997.3902324565</v>
      </c>
      <c r="U10" s="32">
        <f t="shared" si="10"/>
        <v>54855.499947949</v>
      </c>
      <c r="V10" s="32"/>
      <c r="W10" s="36">
        <f t="shared" si="0"/>
        <v>-0.0264484135469663</v>
      </c>
      <c r="X10" s="36">
        <f t="shared" si="1"/>
        <v>0.0270642192089303</v>
      </c>
      <c r="Y10" s="36"/>
      <c r="Z10" s="29">
        <f t="shared" si="2"/>
        <v>-0.537562394775648</v>
      </c>
      <c r="AA10" s="29">
        <f t="shared" si="3"/>
        <v>0.605419921449084</v>
      </c>
    </row>
    <row r="11" spans="3:27">
      <c r="C11" s="8">
        <f>Accuracy!F10</f>
        <v>-10</v>
      </c>
      <c r="D11" s="8">
        <f>Accuracy!G10</f>
        <v>42470</v>
      </c>
      <c r="G11" s="40">
        <f t="shared" si="4"/>
        <v>-10.0684469452116</v>
      </c>
      <c r="H11" s="49">
        <f t="shared" si="5"/>
        <v>0.00684469452115755</v>
      </c>
      <c r="I11" s="29">
        <f t="shared" si="6"/>
        <v>-0.0684469452115763</v>
      </c>
      <c r="K11">
        <f t="shared" si="7"/>
        <v>3241.92049604157</v>
      </c>
      <c r="L11">
        <f t="shared" si="8"/>
        <v>42470</v>
      </c>
      <c r="O11" s="32">
        <f>$D$18*(1-Accuracy!$D$7)*EXP(K11*(1-Accuracy!$D$9)*($C$18-C11)/(($C$18+273.15)*(C11+273.15)))</f>
        <v>41441.611301701</v>
      </c>
      <c r="P11" s="32">
        <f>$D$18*(1-Accuracy!$D$7)*EXP(K11*(1+Accuracy!$D$9)*($C$18-C11)/(($C$18+273.15)*(C11+273.15)))</f>
        <v>42657.7827589788</v>
      </c>
      <c r="Q11" s="32">
        <f>$D$18*(1+Accuracy!$D$7)*EXP(K11*(1-Accuracy!$D$9)*($C$18-C11)/(($C$18+273.15)*(C11+273.15)))</f>
        <v>42278.8155704222</v>
      </c>
      <c r="R11" s="32">
        <f>$D$18*(1+Accuracy!$D$7)*EXP(K11*(1+Accuracy!$D$9)*($C$18-C11)/(($C$18+273.15)*(C11+273.15)))</f>
        <v>43519.5561480491</v>
      </c>
      <c r="T11" s="32">
        <f t="shared" si="9"/>
        <v>41441.611301701</v>
      </c>
      <c r="U11" s="32">
        <f t="shared" si="10"/>
        <v>43519.5561480491</v>
      </c>
      <c r="V11" s="32"/>
      <c r="W11" s="36">
        <f t="shared" si="0"/>
        <v>-0.0242144737061226</v>
      </c>
      <c r="X11" s="36">
        <f t="shared" si="1"/>
        <v>0.0247128831657419</v>
      </c>
      <c r="Y11" s="36"/>
      <c r="Z11" s="29">
        <f t="shared" si="2"/>
        <v>-0.471452933983869</v>
      </c>
      <c r="AA11" s="29">
        <f t="shared" si="3"/>
        <v>0.604462942624025</v>
      </c>
    </row>
    <row r="12" spans="3:27">
      <c r="C12" s="8">
        <f>Accuracy!F11</f>
        <v>-5</v>
      </c>
      <c r="D12" s="8">
        <f>Accuracy!G11</f>
        <v>33900</v>
      </c>
      <c r="G12" s="40">
        <f t="shared" si="4"/>
        <v>-5.03944986074981</v>
      </c>
      <c r="H12" s="49">
        <f t="shared" si="5"/>
        <v>0.00788997214996234</v>
      </c>
      <c r="I12" s="29">
        <f t="shared" si="6"/>
        <v>-0.0394498607498122</v>
      </c>
      <c r="K12">
        <f t="shared" si="7"/>
        <v>3253.46789236929</v>
      </c>
      <c r="L12">
        <f t="shared" si="8"/>
        <v>33900</v>
      </c>
      <c r="O12" s="32">
        <f>$D$18*(1-Accuracy!$D$7)*EXP(K12*(1-Accuracy!$D$9)*($C$18-C12)/(($C$18+273.15)*(C12+273.15)))</f>
        <v>33153.7681322216</v>
      </c>
      <c r="P12" s="32">
        <f>$D$18*(1-Accuracy!$D$7)*EXP(K12*(1+Accuracy!$D$9)*($C$18-C12)/(($C$18+273.15)*(C12+273.15)))</f>
        <v>33973.2339475864</v>
      </c>
      <c r="Q12" s="32">
        <f>$D$18*(1+Accuracy!$D$7)*EXP(K12*(1-Accuracy!$D$9)*($C$18-C12)/(($C$18+273.15)*(C12+273.15)))</f>
        <v>33823.5412258018</v>
      </c>
      <c r="R12" s="32">
        <f>$D$18*(1+Accuracy!$D$7)*EXP(K12*(1+Accuracy!$D$9)*($C$18-C12)/(($C$18+273.15)*(C12+273.15)))</f>
        <v>34659.5619061235</v>
      </c>
      <c r="T12" s="32">
        <f t="shared" si="9"/>
        <v>33153.7681322216</v>
      </c>
      <c r="U12" s="32">
        <f t="shared" si="10"/>
        <v>34659.5619061235</v>
      </c>
      <c r="V12" s="32"/>
      <c r="W12" s="36">
        <f t="shared" si="0"/>
        <v>-0.0220127394624896</v>
      </c>
      <c r="X12" s="36">
        <f t="shared" si="1"/>
        <v>0.022405955932848</v>
      </c>
      <c r="Y12" s="36"/>
      <c r="Z12" s="29">
        <f t="shared" si="2"/>
        <v>-0.465223181239651</v>
      </c>
      <c r="AA12" s="29">
        <f t="shared" si="3"/>
        <v>0.540404670207465</v>
      </c>
    </row>
    <row r="13" spans="3:27">
      <c r="C13" s="8">
        <f>Accuracy!F12</f>
        <v>0</v>
      </c>
      <c r="D13" s="8">
        <f>Accuracy!G12</f>
        <v>27280</v>
      </c>
      <c r="G13" s="40">
        <f t="shared" si="4"/>
        <v>-0.0499611183703905</v>
      </c>
      <c r="H13" s="49">
        <f>0</f>
        <v>0</v>
      </c>
      <c r="I13" s="29">
        <f t="shared" si="6"/>
        <v>-0.0499611183703905</v>
      </c>
      <c r="K13">
        <f t="shared" si="7"/>
        <v>3269.21238061231</v>
      </c>
      <c r="L13">
        <f t="shared" si="8"/>
        <v>27280</v>
      </c>
      <c r="O13" s="32">
        <f>$D$18*(1-Accuracy!$D$7)*EXP(K13*(1-Accuracy!$D$9)*($C$18-C13)/(($C$18+273.15)*(C13+273.15)))</f>
        <v>26737.5196604499</v>
      </c>
      <c r="P13" s="32">
        <f>$D$18*(1-Accuracy!$D$7)*EXP(K13*(1+Accuracy!$D$9)*($C$18-C13)/(($C$18+273.15)*(C13+273.15)))</f>
        <v>27279.6003931102</v>
      </c>
      <c r="Q13" s="32">
        <f>$D$18*(1+Accuracy!$D$7)*EXP(K13*(1-Accuracy!$D$9)*($C$18-C13)/(($C$18+273.15)*(C13+273.15)))</f>
        <v>27277.6715727822</v>
      </c>
      <c r="R13" s="32">
        <f>$D$18*(1+Accuracy!$D$7)*EXP(K13*(1+Accuracy!$D$9)*($C$18-C13)/(($C$18+273.15)*(C13+273.15)))</f>
        <v>27830.7034313548</v>
      </c>
      <c r="T13" s="32">
        <f t="shared" si="9"/>
        <v>26737.5196604499</v>
      </c>
      <c r="U13" s="32">
        <f t="shared" si="10"/>
        <v>27830.7034313548</v>
      </c>
      <c r="V13" s="32"/>
      <c r="W13" s="36">
        <f t="shared" si="0"/>
        <v>-0.0198856429453848</v>
      </c>
      <c r="X13" s="36">
        <f t="shared" si="1"/>
        <v>0.0201870759294291</v>
      </c>
      <c r="Y13" s="36"/>
      <c r="Z13" s="29">
        <f t="shared" si="2"/>
        <v>-0.41857515211359</v>
      </c>
      <c r="AA13" s="29">
        <f t="shared" si="3"/>
        <v>0.514929388267092</v>
      </c>
    </row>
    <row r="14" spans="3:27">
      <c r="C14" s="8">
        <f>Accuracy!F13</f>
        <v>5</v>
      </c>
      <c r="D14" s="8">
        <f>Accuracy!G13</f>
        <v>22050</v>
      </c>
      <c r="G14" s="40">
        <f t="shared" si="4"/>
        <v>4.97920222217931</v>
      </c>
      <c r="H14" s="49">
        <f t="shared" ref="H14:H40" si="11">(G14)/(C14)-1</f>
        <v>-0.00415955556413794</v>
      </c>
      <c r="I14" s="29">
        <f t="shared" si="6"/>
        <v>-0.0207977778206896</v>
      </c>
      <c r="K14">
        <f t="shared" si="7"/>
        <v>3278.76831976754</v>
      </c>
      <c r="L14">
        <f t="shared" si="8"/>
        <v>22050</v>
      </c>
      <c r="O14" s="32">
        <f>$D$18*(1-Accuracy!$D$7)*EXP(K14*(1-Accuracy!$D$9)*($C$18-C14)/(($C$18+273.15)*(C14+273.15)))</f>
        <v>21657.5687879722</v>
      </c>
      <c r="P14" s="32">
        <f>$D$18*(1-Accuracy!$D$7)*EXP(K14*(1+Accuracy!$D$9)*($C$18-C14)/(($C$18+273.15)*(C14+273.15)))</f>
        <v>22002.7961086124</v>
      </c>
      <c r="Q14" s="32">
        <f>$D$18*(1+Accuracy!$D$7)*EXP(K14*(1-Accuracy!$D$9)*($C$18-C14)/(($C$18+273.15)*(C14+273.15)))</f>
        <v>22095.0954301534</v>
      </c>
      <c r="R14" s="32">
        <f>$D$18*(1+Accuracy!$D$7)*EXP(K14*(1+Accuracy!$D$9)*($C$18-C14)/(($C$18+273.15)*(C14+273.15)))</f>
        <v>22447.2970400995</v>
      </c>
      <c r="T14" s="32">
        <f t="shared" si="9"/>
        <v>21657.5687879722</v>
      </c>
      <c r="U14" s="32">
        <f t="shared" si="10"/>
        <v>22447.2970400995</v>
      </c>
      <c r="V14" s="32"/>
      <c r="W14" s="36">
        <f t="shared" si="0"/>
        <v>-0.0177973338788123</v>
      </c>
      <c r="X14" s="36">
        <f t="shared" si="1"/>
        <v>0.0180180063537201</v>
      </c>
      <c r="Y14" s="36"/>
      <c r="Z14" s="29">
        <f t="shared" si="2"/>
        <v>-0.410113525423185</v>
      </c>
      <c r="AA14" s="29">
        <f t="shared" si="3"/>
        <v>0.448277332773216</v>
      </c>
    </row>
    <row r="15" spans="3:27">
      <c r="C15" s="8">
        <f>Accuracy!F14</f>
        <v>10</v>
      </c>
      <c r="D15" s="8">
        <f>Accuracy!G14</f>
        <v>17960</v>
      </c>
      <c r="G15" s="40">
        <f t="shared" si="4"/>
        <v>9.96533854884223</v>
      </c>
      <c r="H15" s="49">
        <f t="shared" si="11"/>
        <v>-0.00346614511577736</v>
      </c>
      <c r="I15" s="29">
        <f t="shared" si="6"/>
        <v>-0.0346614511577741</v>
      </c>
      <c r="K15">
        <f t="shared" si="7"/>
        <v>3295.588537912</v>
      </c>
      <c r="L15">
        <f t="shared" si="8"/>
        <v>17960</v>
      </c>
      <c r="O15" s="32">
        <f>$D$18*(1-Accuracy!$D$7)*EXP(K15*(1-Accuracy!$D$9)*($C$18-C15)/(($C$18+273.15)*(C15+273.15)))</f>
        <v>17676.5889750737</v>
      </c>
      <c r="P15" s="32">
        <f>$D$18*(1-Accuracy!$D$7)*EXP(K15*(1+Accuracy!$D$9)*($C$18-C15)/(($C$18+273.15)*(C15+273.15)))</f>
        <v>17884.8206860386</v>
      </c>
      <c r="Q15" s="32">
        <f>$D$18*(1+Accuracy!$D$7)*EXP(K15*(1-Accuracy!$D$9)*($C$18-C15)/(($C$18+273.15)*(C15+273.15)))</f>
        <v>18033.6917826509</v>
      </c>
      <c r="R15" s="32">
        <f>$D$18*(1+Accuracy!$D$7)*EXP(K15*(1+Accuracy!$D$9)*($C$18-C15)/(($C$18+273.15)*(C15+273.15)))</f>
        <v>18246.1301948475</v>
      </c>
      <c r="T15" s="32">
        <f t="shared" si="9"/>
        <v>17676.5889750737</v>
      </c>
      <c r="U15" s="32">
        <f t="shared" si="10"/>
        <v>18246.1301948475</v>
      </c>
      <c r="V15" s="32"/>
      <c r="W15" s="36">
        <f t="shared" si="0"/>
        <v>-0.0157801238823116</v>
      </c>
      <c r="X15" s="36">
        <f t="shared" si="1"/>
        <v>0.0159315253255834</v>
      </c>
      <c r="Y15" s="36"/>
      <c r="Z15" s="29">
        <f t="shared" si="2"/>
        <v>-0.357751679739806</v>
      </c>
      <c r="AA15" s="29">
        <f t="shared" si="3"/>
        <v>0.423761921511016</v>
      </c>
    </row>
    <row r="16" spans="3:27">
      <c r="C16" s="8">
        <f>Accuracy!F15</f>
        <v>15</v>
      </c>
      <c r="D16" s="8">
        <f>Accuracy!G15</f>
        <v>14690</v>
      </c>
      <c r="G16" s="40">
        <f t="shared" si="4"/>
        <v>14.9874272356823</v>
      </c>
      <c r="H16" s="49">
        <f t="shared" si="11"/>
        <v>-0.000838184287844546</v>
      </c>
      <c r="I16" s="29">
        <f t="shared" si="6"/>
        <v>-0.0125727643176674</v>
      </c>
      <c r="K16">
        <f t="shared" si="7"/>
        <v>3304.01701464398</v>
      </c>
      <c r="L16">
        <f t="shared" si="8"/>
        <v>14690</v>
      </c>
      <c r="O16" s="32">
        <f>$D$18*(1-Accuracy!$D$7)*EXP(K16*(1-Accuracy!$D$9)*($C$18-C16)/(($C$18+273.15)*(C16+273.15)))</f>
        <v>14487.2772809485</v>
      </c>
      <c r="P16" s="32">
        <f>$D$18*(1-Accuracy!$D$7)*EXP(K16*(1+Accuracy!$D$9)*($C$18-C16)/(($C$18+273.15)*(C16+273.15)))</f>
        <v>14599.1378164713</v>
      </c>
      <c r="Q16" s="32">
        <f>$D$18*(1+Accuracy!$D$7)*EXP(K16*(1-Accuracy!$D$9)*($C$18-C16)/(($C$18+273.15)*(C16+273.15)))</f>
        <v>14779.9495492505</v>
      </c>
      <c r="R16" s="32">
        <f>$D$18*(1+Accuracy!$D$7)*EXP(K16*(1+Accuracy!$D$9)*($C$18-C16)/(($C$18+273.15)*(C16+273.15)))</f>
        <v>14894.0698935717</v>
      </c>
      <c r="T16" s="32">
        <f t="shared" si="9"/>
        <v>14487.2772809485</v>
      </c>
      <c r="U16" s="32">
        <f t="shared" si="10"/>
        <v>14894.0698935717</v>
      </c>
      <c r="V16" s="32"/>
      <c r="W16" s="36">
        <f t="shared" si="0"/>
        <v>-0.0138000489483666</v>
      </c>
      <c r="X16" s="36">
        <f t="shared" si="1"/>
        <v>0.0138917558592024</v>
      </c>
      <c r="Y16" s="36"/>
      <c r="Z16" s="29">
        <f t="shared" si="2"/>
        <v>-0.339856538268236</v>
      </c>
      <c r="AA16" s="29">
        <f t="shared" si="3"/>
        <v>0.361792258483717</v>
      </c>
    </row>
    <row r="17" spans="3:27">
      <c r="C17" s="8">
        <f>Accuracy!F16</f>
        <v>20</v>
      </c>
      <c r="D17" s="8">
        <f>Accuracy!G16</f>
        <v>12090</v>
      </c>
      <c r="G17" s="40">
        <f t="shared" si="4"/>
        <v>19.9906686647828</v>
      </c>
      <c r="H17" s="49">
        <f t="shared" si="11"/>
        <v>-0.000466566760860543</v>
      </c>
      <c r="I17" s="29">
        <f t="shared" si="6"/>
        <v>-0.00933133521721174</v>
      </c>
      <c r="K17">
        <f t="shared" si="7"/>
        <v>3317.69307680286</v>
      </c>
      <c r="L17">
        <f t="shared" si="8"/>
        <v>12090</v>
      </c>
      <c r="O17" s="32">
        <f>$D$18*(1-Accuracy!$D$7)*EXP(K17*(1-Accuracy!$D$9)*($C$18-C17)/(($C$18+273.15)*(C17+273.15)))</f>
        <v>11946.4049612926</v>
      </c>
      <c r="P17" s="32">
        <f>$D$18*(1-Accuracy!$D$7)*EXP(K17*(1+Accuracy!$D$9)*($C$18-C17)/(($C$18+273.15)*(C17+273.15)))</f>
        <v>11991.8381533334</v>
      </c>
      <c r="Q17" s="32">
        <f>$D$18*(1+Accuracy!$D$7)*EXP(K17*(1-Accuracy!$D$9)*($C$18-C17)/(($C$18+273.15)*(C17+273.15)))</f>
        <v>12187.7464756621</v>
      </c>
      <c r="R17" s="32">
        <f>$D$18*(1+Accuracy!$D$7)*EXP(K17*(1+Accuracy!$D$9)*($C$18-C17)/(($C$18+273.15)*(C17+273.15)))</f>
        <v>12234.0975099664</v>
      </c>
      <c r="T17" s="32">
        <f t="shared" si="9"/>
        <v>11946.4049612926</v>
      </c>
      <c r="U17" s="32">
        <f t="shared" si="10"/>
        <v>12234.0975099664</v>
      </c>
      <c r="V17" s="32"/>
      <c r="W17" s="36">
        <f t="shared" si="0"/>
        <v>-0.0118771744174866</v>
      </c>
      <c r="X17" s="36">
        <f t="shared" si="1"/>
        <v>0.0119187353156669</v>
      </c>
      <c r="Y17" s="36"/>
      <c r="Z17" s="29">
        <f t="shared" si="2"/>
        <v>-0.302053252948667</v>
      </c>
      <c r="AA17" s="29">
        <f t="shared" si="3"/>
        <v>0.31759051170053</v>
      </c>
    </row>
    <row r="18" spans="3:27">
      <c r="C18" s="8">
        <f>Accuracy!F17</f>
        <v>25</v>
      </c>
      <c r="D18" s="8">
        <f>Accuracy!G17</f>
        <v>10000</v>
      </c>
      <c r="G18" s="40">
        <f t="shared" si="4"/>
        <v>25</v>
      </c>
      <c r="H18" s="49">
        <f t="shared" si="11"/>
        <v>0</v>
      </c>
      <c r="I18" s="29">
        <f t="shared" si="6"/>
        <v>0</v>
      </c>
      <c r="K18">
        <f>(K19-K17)/2+K17</f>
        <v>3328.82552987186</v>
      </c>
      <c r="L18">
        <f t="shared" si="8"/>
        <v>10000</v>
      </c>
      <c r="O18" s="32">
        <f>$D$18*(1-Accuracy!$D$7)*EXP(K18*(1-Accuracy!$D$9)*($C$18-C18)/(($C$18+273.15)*(C18+273.15)))</f>
        <v>9900</v>
      </c>
      <c r="P18" s="32">
        <f>$D$18*(1-Accuracy!$D$7)*EXP(K18*(1+Accuracy!$D$9)*($C$18-C18)/(($C$18+273.15)*(C18+273.15)))</f>
        <v>9900</v>
      </c>
      <c r="Q18" s="32">
        <f>$D$18*(1+Accuracy!$D$7)*EXP(K18*(1-Accuracy!$D$9)*($C$18-C18)/(($C$18+273.15)*(C18+273.15)))</f>
        <v>10100</v>
      </c>
      <c r="R18" s="32">
        <f>$D$18*(1+Accuracy!$D$7)*EXP(K18*(1+Accuracy!$D$9)*($C$18-C18)/(($C$18+273.15)*(C18+273.15)))</f>
        <v>10100</v>
      </c>
      <c r="T18" s="32">
        <f t="shared" si="9"/>
        <v>9900</v>
      </c>
      <c r="U18" s="32">
        <f t="shared" si="10"/>
        <v>10100</v>
      </c>
      <c r="V18" s="32"/>
      <c r="W18" s="36">
        <f t="shared" si="0"/>
        <v>-0.01</v>
      </c>
      <c r="X18" s="36">
        <f t="shared" si="1"/>
        <v>0.01</v>
      </c>
      <c r="Y18" s="36"/>
      <c r="Z18" s="29">
        <f t="shared" si="2"/>
        <v>-0.26907354775426</v>
      </c>
      <c r="AA18" s="29">
        <f t="shared" si="3"/>
        <v>0.266013534295723</v>
      </c>
    </row>
    <row r="19" spans="3:27">
      <c r="C19" s="8">
        <f>Accuracy!F18</f>
        <v>30</v>
      </c>
      <c r="D19" s="8">
        <f>Accuracy!G18</f>
        <v>8313</v>
      </c>
      <c r="G19" s="40">
        <f t="shared" si="4"/>
        <v>30.0096259646854</v>
      </c>
      <c r="H19" s="49">
        <f t="shared" si="11"/>
        <v>0.000320865489514155</v>
      </c>
      <c r="I19" s="29">
        <f t="shared" si="6"/>
        <v>0.00962596468542642</v>
      </c>
      <c r="K19">
        <f t="shared" si="7"/>
        <v>3339.95798294086</v>
      </c>
      <c r="L19">
        <f t="shared" si="8"/>
        <v>8313</v>
      </c>
      <c r="O19" s="32">
        <f>$D$18*(1-Accuracy!$D$7)*EXP(K19*(1-Accuracy!$D$9)*($C$18-C19)/(($C$18+273.15)*(C19+273.15)))</f>
        <v>8245.08993751397</v>
      </c>
      <c r="P19" s="32">
        <f>$D$18*(1-Accuracy!$D$7)*EXP(K19*(1+Accuracy!$D$9)*($C$18-C19)/(($C$18+273.15)*(C19+273.15)))</f>
        <v>8214.67815757046</v>
      </c>
      <c r="Q19" s="32">
        <f>$D$18*(1+Accuracy!$D$7)*EXP(K19*(1-Accuracy!$D$9)*($C$18-C19)/(($C$18+273.15)*(C19+273.15)))</f>
        <v>8411.6574109991</v>
      </c>
      <c r="R19" s="32">
        <f>$D$18*(1+Accuracy!$D$7)*EXP(K19*(1+Accuracy!$D$9)*($C$18-C19)/(($C$18+273.15)*(C19+273.15)))</f>
        <v>8380.63125166279</v>
      </c>
      <c r="T19" s="32">
        <f t="shared" si="9"/>
        <v>8214.67815757046</v>
      </c>
      <c r="U19" s="32">
        <f t="shared" si="10"/>
        <v>8411.6574109991</v>
      </c>
      <c r="V19" s="32"/>
      <c r="W19" s="36">
        <f t="shared" si="0"/>
        <v>-0.0118274801430941</v>
      </c>
      <c r="X19" s="36">
        <f t="shared" si="1"/>
        <v>0.0118678468662461</v>
      </c>
      <c r="Y19" s="36"/>
      <c r="Z19" s="29">
        <f t="shared" si="2"/>
        <v>-0.33685545683511</v>
      </c>
      <c r="AA19" s="29">
        <f t="shared" si="3"/>
        <v>0.314292157594821</v>
      </c>
    </row>
    <row r="20" spans="3:27">
      <c r="C20" s="8">
        <f>Accuracy!F19</f>
        <v>35</v>
      </c>
      <c r="D20" s="8">
        <f>Accuracy!G19</f>
        <v>6940</v>
      </c>
      <c r="G20" s="40">
        <f t="shared" si="4"/>
        <v>35.0364248622151</v>
      </c>
      <c r="H20" s="49">
        <f t="shared" si="11"/>
        <v>0.00104071034900244</v>
      </c>
      <c r="I20" s="29">
        <f t="shared" si="6"/>
        <v>0.0364248622150853</v>
      </c>
      <c r="K20">
        <f t="shared" si="7"/>
        <v>3356.0376575464</v>
      </c>
      <c r="L20">
        <f t="shared" si="8"/>
        <v>6940</v>
      </c>
      <c r="O20" s="32">
        <f>$D$18*(1-Accuracy!$D$7)*EXP(K20*(1-Accuracy!$D$9)*($C$18-C20)/(($C$18+273.15)*(C20+273.15)))</f>
        <v>6895.74304940441</v>
      </c>
      <c r="P20" s="32">
        <f>$D$18*(1-Accuracy!$D$7)*EXP(K20*(1+Accuracy!$D$9)*($C$18-C20)/(($C$18+273.15)*(C20+273.15)))</f>
        <v>6845.54862642063</v>
      </c>
      <c r="Q20" s="32">
        <f>$D$18*(1+Accuracy!$D$7)*EXP(K20*(1-Accuracy!$D$9)*($C$18-C20)/(($C$18+273.15)*(C20+273.15)))</f>
        <v>7035.05098979642</v>
      </c>
      <c r="R20" s="32">
        <f>$D$18*(1+Accuracy!$D$7)*EXP(K20*(1+Accuracy!$D$9)*($C$18-C20)/(($C$18+273.15)*(C20+273.15)))</f>
        <v>6983.84253806549</v>
      </c>
      <c r="T20" s="32">
        <f t="shared" si="9"/>
        <v>6845.54862642063</v>
      </c>
      <c r="U20" s="32">
        <f t="shared" si="10"/>
        <v>7035.05098979642</v>
      </c>
      <c r="V20" s="32"/>
      <c r="W20" s="36">
        <f t="shared" si="0"/>
        <v>-0.0136097080085544</v>
      </c>
      <c r="X20" s="36">
        <f t="shared" si="1"/>
        <v>0.0136961080398301</v>
      </c>
      <c r="Y20" s="36"/>
      <c r="Z20" s="29">
        <f t="shared" si="2"/>
        <v>-0.423507971494928</v>
      </c>
      <c r="AA20" s="29">
        <f t="shared" si="3"/>
        <v>0.347055739145674</v>
      </c>
    </row>
    <row r="21" spans="3:27">
      <c r="C21" s="8">
        <f>Accuracy!F20</f>
        <v>40</v>
      </c>
      <c r="D21" s="8">
        <f>Accuracy!G20</f>
        <v>5827</v>
      </c>
      <c r="G21" s="40">
        <f t="shared" si="4"/>
        <v>40.0339480207969</v>
      </c>
      <c r="H21" s="49">
        <f t="shared" si="11"/>
        <v>0.000848700519921364</v>
      </c>
      <c r="I21" s="29">
        <f t="shared" si="6"/>
        <v>0.0339480207968563</v>
      </c>
      <c r="K21">
        <f t="shared" si="7"/>
        <v>3361.67961859529</v>
      </c>
      <c r="L21">
        <f t="shared" si="8"/>
        <v>5827</v>
      </c>
      <c r="O21" s="32">
        <f>$D$18*(1-Accuracy!$D$7)*EXP(K21*(1-Accuracy!$D$9)*($C$18-C21)/(($C$18+273.15)*(C21+273.15)))</f>
        <v>5799.97020433621</v>
      </c>
      <c r="P21" s="32">
        <f>$D$18*(1-Accuracy!$D$7)*EXP(K21*(1+Accuracy!$D$9)*($C$18-C21)/(($C$18+273.15)*(C21+273.15)))</f>
        <v>5737.65806383286</v>
      </c>
      <c r="Q21" s="32">
        <f>$D$18*(1+Accuracy!$D$7)*EXP(K21*(1-Accuracy!$D$9)*($C$18-C21)/(($C$18+273.15)*(C21+273.15)))</f>
        <v>5917.14131957533</v>
      </c>
      <c r="R21" s="32">
        <f>$D$18*(1+Accuracy!$D$7)*EXP(K21*(1+Accuracy!$D$9)*($C$18-C21)/(($C$18+273.15)*(C21+273.15)))</f>
        <v>5853.5703479507</v>
      </c>
      <c r="T21" s="32">
        <f t="shared" si="9"/>
        <v>5737.65806383286</v>
      </c>
      <c r="U21" s="32">
        <f t="shared" si="10"/>
        <v>5917.14131957533</v>
      </c>
      <c r="V21" s="32"/>
      <c r="W21" s="36">
        <f t="shared" si="0"/>
        <v>-0.0153324070992173</v>
      </c>
      <c r="X21" s="36">
        <f t="shared" si="1"/>
        <v>0.0154695931998161</v>
      </c>
      <c r="Y21" s="36"/>
      <c r="Z21" s="29">
        <f t="shared" si="2"/>
        <v>-0.48203235962211</v>
      </c>
      <c r="AA21" s="29">
        <f t="shared" si="3"/>
        <v>0.410204130616478</v>
      </c>
    </row>
    <row r="22" spans="3:27">
      <c r="C22" s="8">
        <f>Accuracy!F21</f>
        <v>45</v>
      </c>
      <c r="D22" s="8">
        <f>Accuracy!G21</f>
        <v>4911</v>
      </c>
      <c r="G22" s="40">
        <f t="shared" si="4"/>
        <v>45.0526231497643</v>
      </c>
      <c r="H22" s="49">
        <f t="shared" si="11"/>
        <v>0.00116940332809468</v>
      </c>
      <c r="I22" s="29">
        <f t="shared" si="6"/>
        <v>0.0526231497642584</v>
      </c>
      <c r="K22">
        <f t="shared" si="7"/>
        <v>3372.65570130377</v>
      </c>
      <c r="L22">
        <f t="shared" si="8"/>
        <v>4911</v>
      </c>
      <c r="O22" s="32">
        <f>$D$18*(1-Accuracy!$D$7)*EXP(K22*(1-Accuracy!$D$9)*($C$18-C22)/(($C$18+273.15)*(C22+273.15)))</f>
        <v>4896.58648315933</v>
      </c>
      <c r="P22" s="32">
        <f>$D$18*(1-Accuracy!$D$7)*EXP(K22*(1+Accuracy!$D$9)*($C$18-C22)/(($C$18+273.15)*(C22+273.15)))</f>
        <v>4827.43937095716</v>
      </c>
      <c r="Q22" s="32">
        <f>$D$18*(1+Accuracy!$D$7)*EXP(K22*(1-Accuracy!$D$9)*($C$18-C22)/(($C$18+273.15)*(C22+273.15)))</f>
        <v>4995.50742221305</v>
      </c>
      <c r="R22" s="32">
        <f>$D$18*(1+Accuracy!$D$7)*EXP(K22*(1+Accuracy!$D$9)*($C$18-C22)/(($C$18+273.15)*(C22+273.15)))</f>
        <v>4924.96339865326</v>
      </c>
      <c r="T22" s="32">
        <f t="shared" si="9"/>
        <v>4827.43937095716</v>
      </c>
      <c r="U22" s="32">
        <f t="shared" si="10"/>
        <v>4995.50742221305</v>
      </c>
      <c r="V22" s="32"/>
      <c r="W22" s="36">
        <f t="shared" si="0"/>
        <v>-0.0170149926782409</v>
      </c>
      <c r="X22" s="36">
        <f t="shared" si="1"/>
        <v>0.0172077829796484</v>
      </c>
      <c r="Y22" s="36"/>
      <c r="Z22" s="29">
        <f t="shared" si="2"/>
        <v>-0.563476619179937</v>
      </c>
      <c r="AA22" s="29">
        <f t="shared" si="3"/>
        <v>0.453925067736236</v>
      </c>
    </row>
    <row r="23" spans="3:27">
      <c r="C23" s="8">
        <f>Accuracy!F22</f>
        <v>50</v>
      </c>
      <c r="D23" s="8">
        <f>Accuracy!G22</f>
        <v>4160</v>
      </c>
      <c r="G23" s="40">
        <f t="shared" si="4"/>
        <v>50.0499549248216</v>
      </c>
      <c r="H23" s="49">
        <f t="shared" si="11"/>
        <v>0.00099909849643165</v>
      </c>
      <c r="I23" s="29">
        <f t="shared" si="6"/>
        <v>0.0499549248215772</v>
      </c>
      <c r="K23">
        <f t="shared" si="7"/>
        <v>3380.12865553113</v>
      </c>
      <c r="L23">
        <f t="shared" si="8"/>
        <v>4160</v>
      </c>
      <c r="O23" s="32">
        <f>$D$18*(1-Accuracy!$D$7)*EXP(K23*(1-Accuracy!$D$9)*($C$18-C23)/(($C$18+273.15)*(C23+273.15)))</f>
        <v>4154.68012010817</v>
      </c>
      <c r="P23" s="32">
        <f>$D$18*(1-Accuracy!$D$7)*EXP(K23*(1+Accuracy!$D$9)*($C$18-C23)/(($C$18+273.15)*(C23+273.15)))</f>
        <v>4082.43669059133</v>
      </c>
      <c r="Q23" s="32">
        <f>$D$18*(1+Accuracy!$D$7)*EXP(K23*(1-Accuracy!$D$9)*($C$18-C23)/(($C$18+273.15)*(C23+273.15)))</f>
        <v>4238.61305182753</v>
      </c>
      <c r="R23" s="32">
        <f>$D$18*(1+Accuracy!$D$7)*EXP(K23*(1+Accuracy!$D$9)*($C$18-C23)/(($C$18+273.15)*(C23+273.15)))</f>
        <v>4164.91015908812</v>
      </c>
      <c r="T23" s="32">
        <f t="shared" si="9"/>
        <v>4082.43669059133</v>
      </c>
      <c r="U23" s="32">
        <f t="shared" si="10"/>
        <v>4238.61305182753</v>
      </c>
      <c r="V23" s="32"/>
      <c r="W23" s="36">
        <f t="shared" si="0"/>
        <v>-0.0186450263001614</v>
      </c>
      <c r="X23" s="36">
        <f t="shared" si="1"/>
        <v>0.018897368227772</v>
      </c>
      <c r="Y23" s="36"/>
      <c r="Z23" s="29">
        <f t="shared" si="2"/>
        <v>-0.624822142611549</v>
      </c>
      <c r="AA23" s="29">
        <f t="shared" si="3"/>
        <v>0.520192130719977</v>
      </c>
    </row>
    <row r="24" spans="3:27">
      <c r="C24" s="8">
        <f>Accuracy!F23</f>
        <v>55</v>
      </c>
      <c r="D24" s="8">
        <f>Accuracy!G23</f>
        <v>3536</v>
      </c>
      <c r="G24" s="40">
        <f t="shared" si="4"/>
        <v>55.0700983194802</v>
      </c>
      <c r="H24" s="49">
        <f t="shared" si="11"/>
        <v>0.00127451489964048</v>
      </c>
      <c r="I24" s="29">
        <f t="shared" si="6"/>
        <v>0.0700983194802234</v>
      </c>
      <c r="K24">
        <f t="shared" si="7"/>
        <v>3390.37409825576</v>
      </c>
      <c r="L24">
        <f t="shared" si="8"/>
        <v>3536</v>
      </c>
      <c r="O24" s="32">
        <f>$D$18*(1-Accuracy!$D$7)*EXP(K24*(1-Accuracy!$D$9)*($C$18-C24)/(($C$18+273.15)*(C24+273.15)))</f>
        <v>3537.22208876747</v>
      </c>
      <c r="P24" s="32">
        <f>$D$18*(1-Accuracy!$D$7)*EXP(K24*(1+Accuracy!$D$9)*($C$18-C24)/(($C$18+273.15)*(C24+273.15)))</f>
        <v>3464.43624462099</v>
      </c>
      <c r="Q24" s="32">
        <f>$D$18*(1+Accuracy!$D$7)*EXP(K24*(1-Accuracy!$D$9)*($C$18-C24)/(($C$18+273.15)*(C24+273.15)))</f>
        <v>3608.68112086379</v>
      </c>
      <c r="R24" s="32">
        <f>$D$18*(1+Accuracy!$D$7)*EXP(K24*(1+Accuracy!$D$9)*($C$18-C24)/(($C$18+273.15)*(C24+273.15)))</f>
        <v>3534.42485562343</v>
      </c>
      <c r="T24" s="32">
        <f t="shared" si="9"/>
        <v>3464.43624462099</v>
      </c>
      <c r="U24" s="32">
        <f t="shared" si="10"/>
        <v>3608.68112086379</v>
      </c>
      <c r="V24" s="32"/>
      <c r="W24" s="36">
        <f t="shared" si="0"/>
        <v>-0.0202386186026615</v>
      </c>
      <c r="X24" s="36">
        <f t="shared" si="1"/>
        <v>0.0205546156288989</v>
      </c>
      <c r="Y24" s="36"/>
      <c r="Z24" s="29">
        <f t="shared" si="2"/>
        <v>-0.710798453597931</v>
      </c>
      <c r="AA24" s="29">
        <f t="shared" si="3"/>
        <v>0.565419562687282</v>
      </c>
    </row>
    <row r="25" spans="3:27">
      <c r="C25" s="8">
        <f>Accuracy!F24</f>
        <v>60</v>
      </c>
      <c r="D25" s="8">
        <f>Accuracy!G24</f>
        <v>3020</v>
      </c>
      <c r="G25" s="40">
        <f t="shared" si="4"/>
        <v>60.0672581523403</v>
      </c>
      <c r="H25" s="49">
        <f t="shared" si="11"/>
        <v>0.0011209692056724</v>
      </c>
      <c r="I25" s="29">
        <f t="shared" si="6"/>
        <v>0.0672581523403437</v>
      </c>
      <c r="K25">
        <f t="shared" si="7"/>
        <v>3397.97219349093</v>
      </c>
      <c r="L25">
        <f t="shared" si="8"/>
        <v>3020</v>
      </c>
      <c r="O25" s="32">
        <f>$D$18*(1-Accuracy!$D$7)*EXP(K25*(1-Accuracy!$D$9)*($C$18-C25)/(($C$18+273.15)*(C25+273.15)))</f>
        <v>3025.81288636727</v>
      </c>
      <c r="P25" s="32">
        <f>$D$18*(1-Accuracy!$D$7)*EXP(K25*(1+Accuracy!$D$9)*($C$18-C25)/(($C$18+273.15)*(C25+273.15)))</f>
        <v>2954.21573497622</v>
      </c>
      <c r="Q25" s="32">
        <f>$D$18*(1+Accuracy!$D$7)*EXP(K25*(1-Accuracy!$D$9)*($C$18-C25)/(($C$18+273.15)*(C25+273.15)))</f>
        <v>3086.9404194252</v>
      </c>
      <c r="R25" s="32">
        <f>$D$18*(1+Accuracy!$D$7)*EXP(K25*(1+Accuracy!$D$9)*($C$18-C25)/(($C$18+273.15)*(C25+273.15)))</f>
        <v>3013.89686093533</v>
      </c>
      <c r="T25" s="32">
        <f t="shared" si="9"/>
        <v>2954.21573497622</v>
      </c>
      <c r="U25" s="32">
        <f t="shared" si="10"/>
        <v>3086.9404194252</v>
      </c>
      <c r="V25" s="32"/>
      <c r="W25" s="36">
        <f t="shared" si="0"/>
        <v>-0.0217828692131727</v>
      </c>
      <c r="X25" s="36">
        <f t="shared" si="1"/>
        <v>0.0221657017964227</v>
      </c>
      <c r="Y25" s="36"/>
      <c r="Z25" s="29">
        <f t="shared" si="2"/>
        <v>-0.775017885898762</v>
      </c>
      <c r="AA25" s="29">
        <f t="shared" si="3"/>
        <v>0.634812624362155</v>
      </c>
    </row>
    <row r="26" spans="3:27">
      <c r="C26" s="8">
        <f>Accuracy!F25</f>
        <v>65</v>
      </c>
      <c r="D26" s="8">
        <f>Accuracy!G25</f>
        <v>2588</v>
      </c>
      <c r="G26" s="40">
        <f t="shared" si="4"/>
        <v>65.0814856505274</v>
      </c>
      <c r="H26" s="49">
        <f t="shared" si="11"/>
        <v>0.00125362539272977</v>
      </c>
      <c r="I26" s="29">
        <f t="shared" si="6"/>
        <v>0.0814856505274406</v>
      </c>
      <c r="K26">
        <f t="shared" si="7"/>
        <v>3406.93961990911</v>
      </c>
      <c r="L26">
        <f t="shared" si="8"/>
        <v>2588</v>
      </c>
      <c r="O26" s="32">
        <f>$D$18*(1-Accuracy!$D$7)*EXP(K26*(1-Accuracy!$D$9)*($C$18-C26)/(($C$18+273.15)*(C26+273.15)))</f>
        <v>2596.98728841235</v>
      </c>
      <c r="P26" s="32">
        <f>$D$18*(1-Accuracy!$D$7)*EXP(K26*(1+Accuracy!$D$9)*($C$18-C26)/(($C$18+273.15)*(C26+273.15)))</f>
        <v>2527.72084164229</v>
      </c>
      <c r="Q26" s="32">
        <f>$D$18*(1+Accuracy!$D$7)*EXP(K26*(1-Accuracy!$D$9)*($C$18-C26)/(($C$18+273.15)*(C26+273.15)))</f>
        <v>2649.45167807725</v>
      </c>
      <c r="R26" s="32">
        <f>$D$18*(1+Accuracy!$D$7)*EXP(K26*(1+Accuracy!$D$9)*($C$18-C26)/(($C$18+273.15)*(C26+273.15)))</f>
        <v>2578.78590915021</v>
      </c>
      <c r="T26" s="32">
        <f t="shared" si="9"/>
        <v>2527.72084164229</v>
      </c>
      <c r="U26" s="32">
        <f t="shared" si="10"/>
        <v>2649.45167807725</v>
      </c>
      <c r="V26" s="32"/>
      <c r="W26" s="36">
        <f t="shared" si="0"/>
        <v>-0.0232917922556842</v>
      </c>
      <c r="X26" s="36">
        <f t="shared" si="1"/>
        <v>0.0237448524255213</v>
      </c>
      <c r="Y26" s="36"/>
      <c r="Z26" s="29">
        <f t="shared" si="2"/>
        <v>-0.858074493825882</v>
      </c>
      <c r="AA26" s="29">
        <f t="shared" si="3"/>
        <v>0.688857263515104</v>
      </c>
    </row>
    <row r="27" spans="3:27">
      <c r="C27" s="8">
        <f>Accuracy!F26</f>
        <v>70</v>
      </c>
      <c r="D27" s="8">
        <f>Accuracy!G26</f>
        <v>2228</v>
      </c>
      <c r="G27" s="40">
        <f t="shared" si="4"/>
        <v>70.0683605679557</v>
      </c>
      <c r="H27" s="49">
        <f t="shared" si="11"/>
        <v>0.00097657954222452</v>
      </c>
      <c r="I27" s="29">
        <f t="shared" si="6"/>
        <v>0.0683605679557218</v>
      </c>
      <c r="K27">
        <f t="shared" si="7"/>
        <v>3413.70570398177</v>
      </c>
      <c r="L27">
        <f t="shared" si="8"/>
        <v>2228</v>
      </c>
      <c r="O27" s="32">
        <f>$D$18*(1-Accuracy!$D$7)*EXP(K27*(1-Accuracy!$D$9)*($C$18-C27)/(($C$18+273.15)*(C27+273.15)))</f>
        <v>2239.08834440798</v>
      </c>
      <c r="P27" s="32">
        <f>$D$18*(1-Accuracy!$D$7)*EXP(K27*(1+Accuracy!$D$9)*($C$18-C27)/(($C$18+273.15)*(C27+273.15)))</f>
        <v>2172.84893226773</v>
      </c>
      <c r="Q27" s="32">
        <f>$D$18*(1+Accuracy!$D$7)*EXP(K27*(1-Accuracy!$D$9)*($C$18-C27)/(($C$18+273.15)*(C27+273.15)))</f>
        <v>2284.32245237582</v>
      </c>
      <c r="R27" s="32">
        <f>$D$18*(1+Accuracy!$D$7)*EXP(K27*(1+Accuracy!$D$9)*($C$18-C27)/(($C$18+273.15)*(C27+273.15)))</f>
        <v>2216.74487029334</v>
      </c>
      <c r="T27" s="32">
        <f t="shared" si="9"/>
        <v>2172.84893226773</v>
      </c>
      <c r="U27" s="32">
        <f t="shared" si="10"/>
        <v>2284.32245237582</v>
      </c>
      <c r="V27" s="32"/>
      <c r="W27" s="36">
        <f t="shared" si="0"/>
        <v>-0.0247536210647541</v>
      </c>
      <c r="X27" s="36">
        <f t="shared" si="1"/>
        <v>0.0252793771884294</v>
      </c>
      <c r="Y27" s="36"/>
      <c r="Z27" s="29">
        <f t="shared" si="2"/>
        <v>-0.914941444281283</v>
      </c>
      <c r="AA27" s="29">
        <f t="shared" si="3"/>
        <v>0.771370549704045</v>
      </c>
    </row>
    <row r="28" spans="3:27">
      <c r="C28" s="8">
        <f>Accuracy!F27</f>
        <v>75</v>
      </c>
      <c r="D28" s="8">
        <f>Accuracy!G27</f>
        <v>1924</v>
      </c>
      <c r="G28" s="40">
        <f t="shared" si="4"/>
        <v>75.0734761234491</v>
      </c>
      <c r="H28" s="49">
        <f t="shared" si="11"/>
        <v>0.00097968164598794</v>
      </c>
      <c r="I28" s="29">
        <f t="shared" si="6"/>
        <v>0.0734761234490975</v>
      </c>
      <c r="K28">
        <f t="shared" si="7"/>
        <v>3421.64947469587</v>
      </c>
      <c r="L28">
        <f t="shared" si="8"/>
        <v>1924</v>
      </c>
      <c r="O28" s="32">
        <f>$D$18*(1-Accuracy!$D$7)*EXP(K28*(1-Accuracy!$D$9)*($C$18-C28)/(($C$18+273.15)*(C28+273.15)))</f>
        <v>1936.41398998695</v>
      </c>
      <c r="P28" s="32">
        <f>$D$18*(1-Accuracy!$D$7)*EXP(K28*(1+Accuracy!$D$9)*($C$18-C28)/(($C$18+273.15)*(C28+273.15)))</f>
        <v>1873.6234484778</v>
      </c>
      <c r="Q28" s="32">
        <f>$D$18*(1+Accuracy!$D$7)*EXP(K28*(1-Accuracy!$D$9)*($C$18-C28)/(($C$18+273.15)*(C28+273.15)))</f>
        <v>1975.53346453214</v>
      </c>
      <c r="R28" s="32">
        <f>$D$18*(1+Accuracy!$D$7)*EXP(K28*(1+Accuracy!$D$9)*($C$18-C28)/(($C$18+273.15)*(C28+273.15)))</f>
        <v>1911.47442723492</v>
      </c>
      <c r="T28" s="32">
        <f t="shared" si="9"/>
        <v>1873.6234484778</v>
      </c>
      <c r="U28" s="32">
        <f t="shared" si="10"/>
        <v>1975.53346453214</v>
      </c>
      <c r="V28" s="32"/>
      <c r="W28" s="36">
        <f t="shared" si="0"/>
        <v>-0.0261832388369048</v>
      </c>
      <c r="X28" s="36">
        <f t="shared" si="1"/>
        <v>0.0267845449751261</v>
      </c>
      <c r="Y28" s="36"/>
      <c r="Z28" s="29">
        <f t="shared" si="2"/>
        <v>-0.991855450132903</v>
      </c>
      <c r="AA28" s="29">
        <f t="shared" si="3"/>
        <v>0.837395683717546</v>
      </c>
    </row>
    <row r="29" spans="3:27">
      <c r="C29" s="8">
        <f>Accuracy!F28</f>
        <v>80</v>
      </c>
      <c r="D29" s="8">
        <f>Accuracy!G28</f>
        <v>1668</v>
      </c>
      <c r="G29" s="40">
        <f t="shared" si="4"/>
        <v>80.0643813599223</v>
      </c>
      <c r="H29" s="49">
        <f t="shared" si="11"/>
        <v>0.000804766999028983</v>
      </c>
      <c r="I29" s="29">
        <f t="shared" si="6"/>
        <v>0.0643813599223222</v>
      </c>
      <c r="K29">
        <f t="shared" si="7"/>
        <v>3428.60275582019</v>
      </c>
      <c r="L29">
        <f t="shared" si="8"/>
        <v>1668</v>
      </c>
      <c r="O29" s="32">
        <f>$D$18*(1-Accuracy!$D$7)*EXP(K29*(1-Accuracy!$D$9)*($C$18-C29)/(($C$18+273.15)*(C29+273.15)))</f>
        <v>1681.16089881057</v>
      </c>
      <c r="P29" s="32">
        <f>$D$18*(1-Accuracy!$D$7)*EXP(K29*(1+Accuracy!$D$9)*($C$18-C29)/(($C$18+273.15)*(C29+273.15)))</f>
        <v>1622.00878234157</v>
      </c>
      <c r="Q29" s="32">
        <f>$D$18*(1+Accuracy!$D$7)*EXP(K29*(1-Accuracy!$D$9)*($C$18-C29)/(($C$18+273.15)*(C29+273.15)))</f>
        <v>1715.12374525119</v>
      </c>
      <c r="R29" s="32">
        <f>$D$18*(1+Accuracy!$D$7)*EXP(K29*(1+Accuracy!$D$9)*($C$18-C29)/(($C$18+273.15)*(C29+273.15)))</f>
        <v>1654.77663653029</v>
      </c>
      <c r="T29" s="32">
        <f t="shared" si="9"/>
        <v>1622.00878234157</v>
      </c>
      <c r="U29" s="32">
        <f t="shared" si="10"/>
        <v>1715.12374525119</v>
      </c>
      <c r="V29" s="32"/>
      <c r="W29" s="36">
        <f t="shared" si="0"/>
        <v>-0.0275726724570912</v>
      </c>
      <c r="X29" s="36">
        <f t="shared" si="1"/>
        <v>0.0282516458340474</v>
      </c>
      <c r="Y29" s="36"/>
      <c r="Z29" s="29">
        <f t="shared" si="2"/>
        <v>-1.05590955914232</v>
      </c>
      <c r="AA29" s="29">
        <f t="shared" si="3"/>
        <v>0.918930134248455</v>
      </c>
    </row>
    <row r="30" spans="3:27">
      <c r="C30" s="8">
        <f>Accuracy!F29</f>
        <v>85</v>
      </c>
      <c r="D30" s="8">
        <f>Accuracy!G29</f>
        <v>1451</v>
      </c>
      <c r="G30" s="40">
        <f t="shared" si="4"/>
        <v>85.0542126382941</v>
      </c>
      <c r="H30" s="49">
        <f t="shared" si="11"/>
        <v>0.000637795744636849</v>
      </c>
      <c r="I30" s="29">
        <f t="shared" si="6"/>
        <v>0.0542126382941319</v>
      </c>
      <c r="K30">
        <f t="shared" si="7"/>
        <v>3435.42566510336</v>
      </c>
      <c r="L30">
        <f t="shared" si="8"/>
        <v>1451</v>
      </c>
      <c r="O30" s="32">
        <f>$D$18*(1-Accuracy!$D$7)*EXP(K30*(1-Accuracy!$D$9)*($C$18-C30)/(($C$18+273.15)*(C30+273.15)))</f>
        <v>1464.48838942239</v>
      </c>
      <c r="P30" s="32">
        <f>$D$18*(1-Accuracy!$D$7)*EXP(K30*(1+Accuracy!$D$9)*($C$18-C30)/(($C$18+273.15)*(C30+273.15)))</f>
        <v>1409.02688952957</v>
      </c>
      <c r="Q30" s="32">
        <f>$D$18*(1+Accuracy!$D$7)*EXP(K30*(1-Accuracy!$D$9)*($C$18-C30)/(($C$18+273.15)*(C30+273.15)))</f>
        <v>1494.07401345113</v>
      </c>
      <c r="R30" s="32">
        <f>$D$18*(1+Accuracy!$D$7)*EXP(K30*(1+Accuracy!$D$9)*($C$18-C30)/(($C$18+273.15)*(C30+273.15)))</f>
        <v>1437.49207921703</v>
      </c>
      <c r="T30" s="32">
        <f t="shared" si="9"/>
        <v>1409.02688952957</v>
      </c>
      <c r="U30" s="32">
        <f t="shared" si="10"/>
        <v>1494.07401345113</v>
      </c>
      <c r="V30" s="32"/>
      <c r="W30" s="36">
        <f t="shared" si="0"/>
        <v>-0.0289270230671478</v>
      </c>
      <c r="X30" s="36">
        <f t="shared" si="1"/>
        <v>0.0296857432468136</v>
      </c>
      <c r="Y30" s="36"/>
      <c r="Z30" s="29">
        <f t="shared" si="2"/>
        <v>-1.12043302703455</v>
      </c>
      <c r="AA30" s="29">
        <f t="shared" si="3"/>
        <v>1.00302710966866</v>
      </c>
    </row>
    <row r="31" spans="3:27">
      <c r="C31" s="8">
        <f>Accuracy!F30</f>
        <v>90</v>
      </c>
      <c r="D31" s="8">
        <f>Accuracy!G30</f>
        <v>1266</v>
      </c>
      <c r="G31" s="40">
        <f t="shared" si="4"/>
        <v>90.0546035352277</v>
      </c>
      <c r="H31" s="49">
        <f t="shared" si="11"/>
        <v>0.000606705946974762</v>
      </c>
      <c r="I31" s="29">
        <f t="shared" si="6"/>
        <v>0.0546035352277272</v>
      </c>
      <c r="K31">
        <f t="shared" si="7"/>
        <v>3442.62509087802</v>
      </c>
      <c r="L31">
        <f t="shared" si="8"/>
        <v>1266</v>
      </c>
      <c r="O31" s="32">
        <f>$D$18*(1-Accuracy!$D$7)*EXP(K31*(1-Accuracy!$D$9)*($C$18-C31)/(($C$18+273.15)*(C31+273.15)))</f>
        <v>1279.51258899014</v>
      </c>
      <c r="P31" s="32">
        <f>$D$18*(1-Accuracy!$D$7)*EXP(K31*(1+Accuracy!$D$9)*($C$18-C31)/(($C$18+273.15)*(C31+273.15)))</f>
        <v>1227.70277456966</v>
      </c>
      <c r="Q31" s="32">
        <f>$D$18*(1+Accuracy!$D$7)*EXP(K31*(1-Accuracy!$D$9)*($C$18-C31)/(($C$18+273.15)*(C31+273.15)))</f>
        <v>1305.36132816165</v>
      </c>
      <c r="R31" s="32">
        <f>$D$18*(1+Accuracy!$D$7)*EXP(K31*(1+Accuracy!$D$9)*($C$18-C31)/(($C$18+273.15)*(C31+273.15)))</f>
        <v>1252.50485082359</v>
      </c>
      <c r="T31" s="32">
        <f t="shared" si="9"/>
        <v>1227.70277456966</v>
      </c>
      <c r="U31" s="32">
        <f t="shared" si="10"/>
        <v>1305.36132816165</v>
      </c>
      <c r="V31" s="32"/>
      <c r="W31" s="36">
        <f t="shared" si="0"/>
        <v>-0.0302505730097463</v>
      </c>
      <c r="X31" s="36">
        <f t="shared" si="1"/>
        <v>0.0310910964941973</v>
      </c>
      <c r="Y31" s="36"/>
      <c r="Z31" s="29">
        <f t="shared" si="2"/>
        <v>-1.19724540251957</v>
      </c>
      <c r="AA31" s="29">
        <f t="shared" si="3"/>
        <v>1.07823534923153</v>
      </c>
    </row>
    <row r="32" spans="3:27">
      <c r="C32" s="8">
        <f>Accuracy!F31</f>
        <v>95</v>
      </c>
      <c r="D32" s="8">
        <f>Accuracy!G31</f>
        <v>1108</v>
      </c>
      <c r="G32" s="40">
        <f t="shared" si="4"/>
        <v>95.058333015471</v>
      </c>
      <c r="H32" s="49">
        <f t="shared" si="11"/>
        <v>0.000614031741800192</v>
      </c>
      <c r="I32" s="29">
        <f t="shared" si="6"/>
        <v>0.0583330154710211</v>
      </c>
      <c r="K32">
        <f t="shared" si="7"/>
        <v>3449.76797548963</v>
      </c>
      <c r="L32">
        <f t="shared" si="8"/>
        <v>1108</v>
      </c>
      <c r="O32" s="32">
        <f>$D$18*(1-Accuracy!$D$7)*EXP(K32*(1-Accuracy!$D$9)*($C$18-C32)/(($C$18+273.15)*(C32+273.15)))</f>
        <v>1121.31997168981</v>
      </c>
      <c r="P32" s="32">
        <f>$D$18*(1-Accuracy!$D$7)*EXP(K32*(1+Accuracy!$D$9)*($C$18-C32)/(($C$18+273.15)*(C32+273.15)))</f>
        <v>1073.0509727627</v>
      </c>
      <c r="Q32" s="32">
        <f>$D$18*(1+Accuracy!$D$7)*EXP(K32*(1-Accuracy!$D$9)*($C$18-C32)/(($C$18+273.15)*(C32+273.15)))</f>
        <v>1143.97290041082</v>
      </c>
      <c r="R32" s="32">
        <f>$D$18*(1+Accuracy!$D$7)*EXP(K32*(1+Accuracy!$D$9)*($C$18-C32)/(($C$18+273.15)*(C32+273.15)))</f>
        <v>1094.72877019225</v>
      </c>
      <c r="T32" s="32">
        <f t="shared" si="9"/>
        <v>1073.0509727627</v>
      </c>
      <c r="U32" s="32">
        <f t="shared" si="10"/>
        <v>1143.97290041082</v>
      </c>
      <c r="V32" s="32"/>
      <c r="W32" s="36">
        <f t="shared" si="0"/>
        <v>-0.0315424433549617</v>
      </c>
      <c r="X32" s="36">
        <f t="shared" si="1"/>
        <v>0.032466516616263</v>
      </c>
      <c r="Y32" s="36"/>
      <c r="Z32" s="29">
        <f t="shared" si="2"/>
        <v>-1.27902910679018</v>
      </c>
      <c r="AA32" s="29">
        <f t="shared" si="3"/>
        <v>1.15167856235428</v>
      </c>
    </row>
    <row r="33" spans="3:27">
      <c r="C33" s="8">
        <f>Accuracy!F32</f>
        <v>100</v>
      </c>
      <c r="D33" s="8">
        <f>Accuracy!G32</f>
        <v>973.1</v>
      </c>
      <c r="G33" s="40">
        <f t="shared" si="4"/>
        <v>100.046251593083</v>
      </c>
      <c r="H33" s="49">
        <f t="shared" si="11"/>
        <v>0.000462515930834018</v>
      </c>
      <c r="I33" s="29">
        <f t="shared" si="6"/>
        <v>0.0462515930834115</v>
      </c>
      <c r="K33">
        <f t="shared" si="7"/>
        <v>3456.09453809419</v>
      </c>
      <c r="L33">
        <f t="shared" si="8"/>
        <v>973.1</v>
      </c>
      <c r="O33" s="32">
        <f>$D$18*(1-Accuracy!$D$7)*EXP(K33*(1-Accuracy!$D$9)*($C$18-C33)/(($C$18+273.15)*(C33+273.15)))</f>
        <v>986.077597874566</v>
      </c>
      <c r="P33" s="32">
        <f>$D$18*(1-Accuracy!$D$7)*EXP(K33*(1+Accuracy!$D$9)*($C$18-C33)/(($C$18+273.15)*(C33+273.15)))</f>
        <v>941.183363420306</v>
      </c>
      <c r="Q33" s="32">
        <f>$D$18*(1+Accuracy!$D$7)*EXP(K33*(1-Accuracy!$D$9)*($C$18-C33)/(($C$18+273.15)*(C33+273.15)))</f>
        <v>1005.99835742759</v>
      </c>
      <c r="R33" s="32">
        <f>$D$18*(1+Accuracy!$D$7)*EXP(K33*(1+Accuracy!$D$9)*($C$18-C33)/(($C$18+273.15)*(C33+273.15)))</f>
        <v>960.197168741928</v>
      </c>
      <c r="T33" s="32">
        <f t="shared" si="9"/>
        <v>941.183363420306</v>
      </c>
      <c r="U33" s="32">
        <f t="shared" si="10"/>
        <v>1005.99835742759</v>
      </c>
      <c r="V33" s="32"/>
      <c r="W33" s="36">
        <f t="shared" si="0"/>
        <v>-0.0327989277357869</v>
      </c>
      <c r="X33" s="36">
        <f t="shared" si="1"/>
        <v>0.0338077868950653</v>
      </c>
      <c r="Y33" s="36"/>
      <c r="Z33" s="29">
        <f t="shared" si="2"/>
        <v>-1.34633711404587</v>
      </c>
      <c r="AA33" s="29">
        <f t="shared" si="3"/>
        <v>1.24221055386948</v>
      </c>
    </row>
    <row r="34" spans="3:27">
      <c r="C34" s="8">
        <f>Accuracy!F33</f>
        <v>105</v>
      </c>
      <c r="D34" s="8">
        <f>Accuracy!G33</f>
        <v>857.2</v>
      </c>
      <c r="G34" s="40">
        <f t="shared" si="4"/>
        <v>105.032068614331</v>
      </c>
      <c r="H34" s="49">
        <f t="shared" si="11"/>
        <v>0.000305415374585616</v>
      </c>
      <c r="I34" s="29">
        <f t="shared" si="6"/>
        <v>0.0320686143314788</v>
      </c>
      <c r="K34">
        <f t="shared" si="7"/>
        <v>3462.22745708295</v>
      </c>
      <c r="L34">
        <f t="shared" si="8"/>
        <v>857.2</v>
      </c>
      <c r="O34" s="32">
        <f>$D$18*(1-Accuracy!$D$7)*EXP(K34*(1-Accuracy!$D$9)*($C$18-C34)/(($C$18+273.15)*(C34+273.15)))</f>
        <v>869.734174866716</v>
      </c>
      <c r="P34" s="32">
        <f>$D$18*(1-Accuracy!$D$7)*EXP(K34*(1+Accuracy!$D$9)*($C$18-C34)/(($C$18+273.15)*(C34+273.15)))</f>
        <v>828.034016824007</v>
      </c>
      <c r="Q34" s="32">
        <f>$D$18*(1+Accuracy!$D$7)*EXP(K34*(1-Accuracy!$D$9)*($C$18-C34)/(($C$18+273.15)*(C34+273.15)))</f>
        <v>887.304562237761</v>
      </c>
      <c r="R34" s="32">
        <f>$D$18*(1+Accuracy!$D$7)*EXP(K34*(1+Accuracy!$D$9)*($C$18-C34)/(($C$18+273.15)*(C34+273.15)))</f>
        <v>844.761976759845</v>
      </c>
      <c r="T34" s="32">
        <f t="shared" si="9"/>
        <v>828.034016824007</v>
      </c>
      <c r="U34" s="32">
        <f t="shared" si="10"/>
        <v>887.304562237761</v>
      </c>
      <c r="V34" s="32"/>
      <c r="W34" s="36">
        <f t="shared" si="0"/>
        <v>-0.034024712057855</v>
      </c>
      <c r="X34" s="36">
        <f t="shared" si="1"/>
        <v>0.0351196479675229</v>
      </c>
      <c r="Y34" s="36"/>
      <c r="Z34" s="29">
        <f t="shared" si="2"/>
        <v>-1.41309537560386</v>
      </c>
      <c r="AA34" s="29">
        <f t="shared" si="3"/>
        <v>1.33633458898862</v>
      </c>
    </row>
    <row r="35" spans="3:27">
      <c r="C35" s="8">
        <f>Accuracy!F34</f>
        <v>110</v>
      </c>
      <c r="D35" s="8">
        <f>Accuracy!G34</f>
        <v>757.6</v>
      </c>
      <c r="G35" s="40">
        <f t="shared" si="4"/>
        <v>110</v>
      </c>
      <c r="H35" s="49">
        <f t="shared" si="11"/>
        <v>0</v>
      </c>
      <c r="I35" s="29">
        <f t="shared" si="6"/>
        <v>0</v>
      </c>
      <c r="K35">
        <f t="shared" si="7"/>
        <v>3467.65222745505</v>
      </c>
      <c r="L35">
        <f t="shared" si="8"/>
        <v>757.6</v>
      </c>
      <c r="O35" s="32">
        <f>$D$18*(1-Accuracy!$D$7)*EXP(K35*(1-Accuracy!$D$9)*($C$18-C35)/(($C$18+273.15)*(C35+273.15)))</f>
        <v>769.627825366316</v>
      </c>
      <c r="P35" s="32">
        <f>$D$18*(1-Accuracy!$D$7)*EXP(K35*(1+Accuracy!$D$9)*($C$18-C35)/(($C$18+273.15)*(C35+273.15)))</f>
        <v>730.919519844871</v>
      </c>
      <c r="Q35" s="32">
        <f>$D$18*(1+Accuracy!$D$7)*EXP(K35*(1-Accuracy!$D$9)*($C$18-C35)/(($C$18+273.15)*(C35+273.15)))</f>
        <v>785.175862242403</v>
      </c>
      <c r="R35" s="32">
        <f>$D$18*(1+Accuracy!$D$7)*EXP(K35*(1+Accuracy!$D$9)*($C$18-C35)/(($C$18+273.15)*(C35+273.15)))</f>
        <v>745.685570750828</v>
      </c>
      <c r="T35" s="32">
        <f t="shared" si="9"/>
        <v>730.919519844871</v>
      </c>
      <c r="U35" s="32">
        <f t="shared" si="10"/>
        <v>785.175862242403</v>
      </c>
      <c r="V35" s="32"/>
      <c r="W35" s="36">
        <f t="shared" si="0"/>
        <v>-0.0352171068573505</v>
      </c>
      <c r="X35" s="36">
        <f t="shared" si="1"/>
        <v>0.0363989733928234</v>
      </c>
      <c r="Y35" s="36"/>
      <c r="Z35" s="29">
        <f t="shared" si="2"/>
        <v>-1.46326076612399</v>
      </c>
      <c r="AA35" s="29">
        <f t="shared" si="3"/>
        <v>1.44957750725837</v>
      </c>
    </row>
    <row r="36" spans="3:27">
      <c r="C36" s="8">
        <f>Accuracy!F35</f>
        <v>115</v>
      </c>
      <c r="D36" s="8">
        <f>Accuracy!G35</f>
        <v>0</v>
      </c>
      <c r="G36" s="40" t="e">
        <f t="shared" si="4"/>
        <v>#NUM!</v>
      </c>
      <c r="H36" s="49" t="e">
        <f t="shared" si="11"/>
        <v>#NUM!</v>
      </c>
      <c r="I36" s="29" t="e">
        <f t="shared" si="6"/>
        <v>#NUM!</v>
      </c>
      <c r="K36" t="e">
        <f t="shared" si="7"/>
        <v>#NUM!</v>
      </c>
      <c r="L36" t="e">
        <f t="shared" si="8"/>
        <v>#NUM!</v>
      </c>
      <c r="O36" s="32" t="e">
        <f>$D$18*(1-Accuracy!$D$7)*EXP(K36*(1-Accuracy!$D$9)*($C$18-C36)/(($C$18+273.15)*(C36+273.15)))</f>
        <v>#NUM!</v>
      </c>
      <c r="P36" s="32" t="e">
        <f>$D$18*(1-Accuracy!$D$7)*EXP(K36*(1+Accuracy!$D$9)*($C$18-C36)/(($C$18+273.15)*(C36+273.15)))</f>
        <v>#NUM!</v>
      </c>
      <c r="Q36" s="32" t="e">
        <f>$D$18*(1+Accuracy!$D$7)*EXP(K36*(1-Accuracy!$D$9)*($C$18-C36)/(($C$18+273.15)*(C36+273.15)))</f>
        <v>#NUM!</v>
      </c>
      <c r="R36" s="32" t="e">
        <f>$D$18*(1+Accuracy!$D$7)*EXP(K36*(1+Accuracy!$D$9)*($C$18-C36)/(($C$18+273.15)*(C36+273.15)))</f>
        <v>#NUM!</v>
      </c>
      <c r="T36" s="32" t="e">
        <f t="shared" si="9"/>
        <v>#NUM!</v>
      </c>
      <c r="U36" s="32" t="e">
        <f t="shared" si="10"/>
        <v>#NUM!</v>
      </c>
      <c r="V36" s="32"/>
      <c r="W36" s="36" t="e">
        <f t="shared" si="0"/>
        <v>#NUM!</v>
      </c>
      <c r="X36" s="36" t="e">
        <f t="shared" si="1"/>
        <v>#NUM!</v>
      </c>
      <c r="Y36" s="36"/>
      <c r="Z36" s="29" t="e">
        <f t="shared" si="2"/>
        <v>#NUM!</v>
      </c>
      <c r="AA36" s="29" t="e">
        <f t="shared" si="3"/>
        <v>#NUM!</v>
      </c>
    </row>
    <row r="37" spans="3:27">
      <c r="C37" s="8">
        <f>Accuracy!F36</f>
        <v>0</v>
      </c>
      <c r="D37" s="8">
        <f>Accuracy!G36</f>
        <v>0</v>
      </c>
      <c r="G37" s="40" t="e">
        <f t="shared" si="4"/>
        <v>#NUM!</v>
      </c>
      <c r="H37" s="49" t="e">
        <f t="shared" si="11"/>
        <v>#NUM!</v>
      </c>
      <c r="I37" s="29" t="e">
        <f t="shared" si="6"/>
        <v>#NUM!</v>
      </c>
      <c r="K37" t="e">
        <f t="shared" si="7"/>
        <v>#NUM!</v>
      </c>
      <c r="L37" t="e">
        <f t="shared" si="8"/>
        <v>#NUM!</v>
      </c>
      <c r="O37" s="32" t="e">
        <f>$D$18*(1-Accuracy!$D$7)*EXP(K37*(1-Accuracy!$D$9)*($C$18-C37)/(($C$18+273.15)*(C37+273.15)))</f>
        <v>#NUM!</v>
      </c>
      <c r="P37" s="32" t="e">
        <f>$D$18*(1-Accuracy!$D$7)*EXP(K37*(1+Accuracy!$D$9)*($C$18-C37)/(($C$18+273.15)*(C37+273.15)))</f>
        <v>#NUM!</v>
      </c>
      <c r="Q37" s="32" t="e">
        <f>$D$18*(1+Accuracy!$D$7)*EXP(K37*(1-Accuracy!$D$9)*($C$18-C37)/(($C$18+273.15)*(C37+273.15)))</f>
        <v>#NUM!</v>
      </c>
      <c r="R37" s="32" t="e">
        <f>$D$18*(1+Accuracy!$D$7)*EXP(K37*(1+Accuracy!$D$9)*($C$18-C37)/(($C$18+273.15)*(C37+273.15)))</f>
        <v>#NUM!</v>
      </c>
      <c r="T37" s="32" t="e">
        <f t="shared" si="9"/>
        <v>#NUM!</v>
      </c>
      <c r="U37" s="32" t="e">
        <f t="shared" si="10"/>
        <v>#NUM!</v>
      </c>
      <c r="V37" s="32"/>
      <c r="W37" s="36" t="e">
        <f t="shared" si="0"/>
        <v>#NUM!</v>
      </c>
      <c r="X37" s="36" t="e">
        <f t="shared" si="1"/>
        <v>#NUM!</v>
      </c>
      <c r="Y37" s="36"/>
      <c r="Z37" s="29" t="e">
        <f t="shared" si="2"/>
        <v>#NUM!</v>
      </c>
      <c r="AA37" s="29" t="e">
        <f t="shared" si="3"/>
        <v>#NUM!</v>
      </c>
    </row>
    <row r="38" spans="3:27">
      <c r="C38" s="8">
        <f>Accuracy!F37</f>
        <v>0</v>
      </c>
      <c r="D38" s="8">
        <f>Accuracy!G37</f>
        <v>0</v>
      </c>
      <c r="G38" s="40" t="e">
        <f t="shared" si="4"/>
        <v>#NUM!</v>
      </c>
      <c r="H38" s="49" t="e">
        <f t="shared" si="11"/>
        <v>#NUM!</v>
      </c>
      <c r="I38" s="29" t="e">
        <f t="shared" si="6"/>
        <v>#NUM!</v>
      </c>
      <c r="K38" t="e">
        <f t="shared" si="7"/>
        <v>#NUM!</v>
      </c>
      <c r="L38" t="e">
        <f t="shared" si="8"/>
        <v>#NUM!</v>
      </c>
      <c r="O38" s="32" t="e">
        <f>$D$18*(1-Accuracy!$D$7)*EXP(K38*(1-Accuracy!$D$9)*($C$18-C38)/(($C$18+273.15)*(C38+273.15)))</f>
        <v>#NUM!</v>
      </c>
      <c r="P38" s="32" t="e">
        <f>$D$18*(1-Accuracy!$D$7)*EXP(K38*(1+Accuracy!$D$9)*($C$18-C38)/(($C$18+273.15)*(C38+273.15)))</f>
        <v>#NUM!</v>
      </c>
      <c r="Q38" s="32" t="e">
        <f>$D$18*(1+Accuracy!$D$7)*EXP(K38*(1-Accuracy!$D$9)*($C$18-C38)/(($C$18+273.15)*(C38+273.15)))</f>
        <v>#NUM!</v>
      </c>
      <c r="R38" s="32" t="e">
        <f>$D$18*(1+Accuracy!$D$7)*EXP(K38*(1+Accuracy!$D$9)*($C$18-C38)/(($C$18+273.15)*(C38+273.15)))</f>
        <v>#NUM!</v>
      </c>
      <c r="T38" s="32" t="e">
        <f t="shared" si="9"/>
        <v>#NUM!</v>
      </c>
      <c r="U38" s="32" t="e">
        <f t="shared" si="10"/>
        <v>#NUM!</v>
      </c>
      <c r="V38" s="32"/>
      <c r="W38" s="36" t="e">
        <f t="shared" si="0"/>
        <v>#NUM!</v>
      </c>
      <c r="X38" s="36" t="e">
        <f t="shared" si="1"/>
        <v>#NUM!</v>
      </c>
      <c r="Y38" s="36"/>
      <c r="Z38" s="29" t="e">
        <f t="shared" si="2"/>
        <v>#NUM!</v>
      </c>
      <c r="AA38" s="29" t="e">
        <f t="shared" si="3"/>
        <v>#NUM!</v>
      </c>
    </row>
    <row r="39" spans="3:27">
      <c r="C39" s="8">
        <f>Accuracy!F38</f>
        <v>0</v>
      </c>
      <c r="D39" s="8">
        <f>Accuracy!G38</f>
        <v>0</v>
      </c>
      <c r="G39" s="40" t="e">
        <f t="shared" si="4"/>
        <v>#NUM!</v>
      </c>
      <c r="H39" s="49" t="e">
        <f t="shared" si="11"/>
        <v>#NUM!</v>
      </c>
      <c r="I39" s="29" t="e">
        <f t="shared" si="6"/>
        <v>#NUM!</v>
      </c>
      <c r="K39" t="e">
        <f t="shared" si="7"/>
        <v>#NUM!</v>
      </c>
      <c r="L39" t="e">
        <f t="shared" si="8"/>
        <v>#NUM!</v>
      </c>
      <c r="O39" s="32" t="e">
        <f>$D$18*(1-Accuracy!$D$7)*EXP(K39*(1-Accuracy!$D$9)*($C$18-C39)/(($C$18+273.15)*(C39+273.15)))</f>
        <v>#NUM!</v>
      </c>
      <c r="P39" s="32" t="e">
        <f>$D$18*(1-Accuracy!$D$7)*EXP(K39*(1+Accuracy!$D$9)*($C$18-C39)/(($C$18+273.15)*(C39+273.15)))</f>
        <v>#NUM!</v>
      </c>
      <c r="Q39" s="32" t="e">
        <f>$D$18*(1+Accuracy!$D$7)*EXP(K39*(1-Accuracy!$D$9)*($C$18-C39)/(($C$18+273.15)*(C39+273.15)))</f>
        <v>#NUM!</v>
      </c>
      <c r="R39" s="32" t="e">
        <f>$D$18*(1+Accuracy!$D$7)*EXP(K39*(1+Accuracy!$D$9)*($C$18-C39)/(($C$18+273.15)*(C39+273.15)))</f>
        <v>#NUM!</v>
      </c>
      <c r="T39" s="32" t="e">
        <f t="shared" si="9"/>
        <v>#NUM!</v>
      </c>
      <c r="U39" s="32" t="e">
        <f t="shared" si="10"/>
        <v>#NUM!</v>
      </c>
      <c r="V39" s="32"/>
      <c r="W39" s="36" t="e">
        <f t="shared" si="0"/>
        <v>#NUM!</v>
      </c>
      <c r="X39" s="36" t="e">
        <f t="shared" si="1"/>
        <v>#NUM!</v>
      </c>
      <c r="Y39" s="36"/>
      <c r="Z39" s="29" t="e">
        <f t="shared" si="2"/>
        <v>#NUM!</v>
      </c>
      <c r="AA39" s="29" t="e">
        <f t="shared" si="3"/>
        <v>#NUM!</v>
      </c>
    </row>
    <row r="40" spans="3:27">
      <c r="C40" s="8">
        <f>Accuracy!F39</f>
        <v>0</v>
      </c>
      <c r="D40" s="8">
        <f>Accuracy!G39</f>
        <v>0</v>
      </c>
      <c r="G40" s="40" t="e">
        <f t="shared" si="4"/>
        <v>#NUM!</v>
      </c>
      <c r="H40" s="49" t="e">
        <f t="shared" si="11"/>
        <v>#NUM!</v>
      </c>
      <c r="I40" s="29" t="e">
        <f t="shared" si="6"/>
        <v>#NUM!</v>
      </c>
      <c r="K40" t="e">
        <f t="shared" si="7"/>
        <v>#NUM!</v>
      </c>
      <c r="L40" t="e">
        <f t="shared" si="8"/>
        <v>#NUM!</v>
      </c>
      <c r="O40" s="32" t="e">
        <f>$D$18*(1-Accuracy!$D$7)*EXP(K40*(1-Accuracy!$D$9)*($C$18-C40)/(($C$18+273.15)*(C40+273.15)))</f>
        <v>#NUM!</v>
      </c>
      <c r="P40" s="32" t="e">
        <f>$D$18*(1-Accuracy!$D$7)*EXP(K40*(1+Accuracy!$D$9)*($C$18-C40)/(($C$18+273.15)*(C40+273.15)))</f>
        <v>#NUM!</v>
      </c>
      <c r="Q40" s="32" t="e">
        <f>$D$18*(1+Accuracy!$D$7)*EXP(K40*(1-Accuracy!$D$9)*($C$18-C40)/(($C$18+273.15)*(C40+273.15)))</f>
        <v>#NUM!</v>
      </c>
      <c r="R40" s="32" t="e">
        <f>$D$18*(1+Accuracy!$D$7)*EXP(K40*(1+Accuracy!$D$9)*($C$18-C40)/(($C$18+273.15)*(C40+273.15)))</f>
        <v>#NUM!</v>
      </c>
      <c r="T40" s="32" t="e">
        <f t="shared" si="9"/>
        <v>#NUM!</v>
      </c>
      <c r="U40" s="32" t="e">
        <f t="shared" si="10"/>
        <v>#NUM!</v>
      </c>
      <c r="V40" s="32"/>
      <c r="W40" s="36" t="e">
        <f t="shared" si="0"/>
        <v>#NUM!</v>
      </c>
      <c r="X40" s="36" t="e">
        <f t="shared" si="1"/>
        <v>#NUM!</v>
      </c>
      <c r="Y40" s="36"/>
      <c r="Z40" s="29" t="e">
        <f t="shared" si="2"/>
        <v>#NUM!</v>
      </c>
      <c r="AA40" s="29" t="e">
        <f t="shared" si="3"/>
        <v>#NUM!</v>
      </c>
    </row>
    <row r="41" spans="3:27">
      <c r="C41" s="17"/>
      <c r="D41" s="17"/>
      <c r="G41" s="40"/>
      <c r="H41" s="36"/>
      <c r="I41" s="36"/>
      <c r="O41" s="32"/>
      <c r="P41" s="32"/>
      <c r="Q41" s="32"/>
      <c r="R41" s="32"/>
      <c r="T41" s="32"/>
      <c r="U41" s="32"/>
      <c r="V41" s="32"/>
      <c r="W41" s="36"/>
      <c r="X41" s="36"/>
      <c r="Y41" s="36"/>
      <c r="Z41" s="29"/>
      <c r="AA41" s="29"/>
    </row>
    <row r="42" spans="3:27">
      <c r="C42" s="17"/>
      <c r="D42" s="17"/>
      <c r="G42" s="40"/>
      <c r="H42" s="36"/>
      <c r="I42" s="36"/>
      <c r="O42" s="32"/>
      <c r="P42" s="32"/>
      <c r="Q42" s="32"/>
      <c r="R42" s="32"/>
      <c r="T42" s="32"/>
      <c r="U42" s="32"/>
      <c r="V42" s="32"/>
      <c r="W42" s="36"/>
      <c r="X42" s="36"/>
      <c r="Y42" s="36"/>
      <c r="Z42" s="29"/>
      <c r="AA42" s="29"/>
    </row>
    <row r="43" spans="3:27">
      <c r="C43" s="17"/>
      <c r="D43" s="17"/>
      <c r="G43" s="40"/>
      <c r="H43" s="36"/>
      <c r="I43" s="36"/>
      <c r="O43" s="32"/>
      <c r="P43" s="32"/>
      <c r="Q43" s="32"/>
      <c r="R43" s="32"/>
      <c r="T43" s="32"/>
      <c r="U43" s="32"/>
      <c r="V43" s="32"/>
      <c r="W43" s="36"/>
      <c r="X43" s="36"/>
      <c r="Y43" s="36"/>
      <c r="Z43" s="29"/>
      <c r="AA43" s="29"/>
    </row>
    <row r="44" spans="3:27">
      <c r="C44" s="17"/>
      <c r="D44" s="17">
        <f>LOOKUP(Accuracy!D3,C5:C40,C5:C40)</f>
        <v>-40</v>
      </c>
      <c r="G44" s="40"/>
      <c r="H44" s="36"/>
      <c r="I44" s="36"/>
      <c r="O44" s="32"/>
      <c r="P44" s="32"/>
      <c r="Q44" s="32"/>
      <c r="R44" s="32"/>
      <c r="T44" s="32"/>
      <c r="U44" s="32"/>
      <c r="V44" s="32"/>
      <c r="W44" s="36"/>
      <c r="X44" s="36"/>
      <c r="Y44" s="36"/>
      <c r="Z44" s="29"/>
      <c r="AA44" s="29"/>
    </row>
    <row r="45" spans="3:27">
      <c r="C45" s="17"/>
      <c r="D45" s="17"/>
      <c r="G45" s="40"/>
      <c r="H45" s="36"/>
      <c r="I45" s="36"/>
      <c r="O45" s="32"/>
      <c r="P45" s="32"/>
      <c r="Q45" s="32"/>
      <c r="R45" s="32"/>
      <c r="T45" s="32"/>
      <c r="U45" s="32"/>
      <c r="V45" s="32"/>
      <c r="W45" s="36"/>
      <c r="X45" s="36"/>
      <c r="Y45" s="36"/>
      <c r="Z45" s="29"/>
      <c r="AA45" s="29"/>
    </row>
    <row r="46" ht="13.95"/>
    <row r="47" spans="2:7">
      <c r="B47" s="50"/>
      <c r="C47" s="51"/>
      <c r="D47" s="51" t="s">
        <v>44</v>
      </c>
      <c r="E47" s="51" t="s">
        <v>54</v>
      </c>
      <c r="F47" s="51" t="s">
        <v>55</v>
      </c>
      <c r="G47" s="52" t="s">
        <v>56</v>
      </c>
    </row>
    <row r="48" spans="2:7">
      <c r="B48" s="53">
        <v>1</v>
      </c>
      <c r="C48" s="16" t="s">
        <v>57</v>
      </c>
      <c r="D48" s="8">
        <f>LOOKUP(Accuracy!D3,C5:C40,C5:C40)+273.15</f>
        <v>233.15</v>
      </c>
      <c r="E48" s="16">
        <f>LOOKUP(D48-273.15,C5:C40,D5:D40)</f>
        <v>188500</v>
      </c>
      <c r="F48" s="16">
        <f t="shared" ref="F48:F50" si="12">LN(E48)</f>
        <v>12.1468532858702</v>
      </c>
      <c r="G48" s="54">
        <f t="shared" ref="G48:G50" si="13">1/D48</f>
        <v>0.00428908428050611</v>
      </c>
    </row>
    <row r="49" spans="2:7">
      <c r="B49" s="53">
        <v>2</v>
      </c>
      <c r="C49" s="16" t="s">
        <v>58</v>
      </c>
      <c r="D49" s="8">
        <f>273.15+C18</f>
        <v>298.15</v>
      </c>
      <c r="E49" s="16">
        <f>LOOKUP(D49-273.15,C5:C40,D5:D40)</f>
        <v>10000</v>
      </c>
      <c r="F49" s="16">
        <f t="shared" si="12"/>
        <v>9.21034037197618</v>
      </c>
      <c r="G49" s="54">
        <f t="shared" si="13"/>
        <v>0.00335401643468053</v>
      </c>
    </row>
    <row r="50" spans="2:7">
      <c r="B50" s="53">
        <v>3</v>
      </c>
      <c r="C50" s="16" t="s">
        <v>59</v>
      </c>
      <c r="D50" s="8">
        <f>LOOKUP(Accuracy!D4,C5:C40,C5:C40)+273.15</f>
        <v>383.15</v>
      </c>
      <c r="E50" s="16">
        <f>LOOKUP(D50-273.15,C5:C40,D5:D40)</f>
        <v>757.6</v>
      </c>
      <c r="F50" s="16">
        <f t="shared" si="12"/>
        <v>6.63015554187187</v>
      </c>
      <c r="G50" s="54">
        <f t="shared" si="13"/>
        <v>0.00260994388620645</v>
      </c>
    </row>
    <row r="51" spans="2:7">
      <c r="B51" s="53"/>
      <c r="C51" s="16"/>
      <c r="D51" s="16"/>
      <c r="E51" s="16"/>
      <c r="F51" s="16"/>
      <c r="G51" s="54"/>
    </row>
    <row r="52" spans="2:7">
      <c r="B52" s="53" t="s">
        <v>37</v>
      </c>
      <c r="C52" s="16"/>
      <c r="D52" s="16" t="s">
        <v>60</v>
      </c>
      <c r="E52" s="16" t="s">
        <v>61</v>
      </c>
      <c r="F52" s="16" t="s">
        <v>62</v>
      </c>
      <c r="G52" s="54"/>
    </row>
    <row r="53" spans="2:7">
      <c r="B53" s="53"/>
      <c r="C53" s="16"/>
      <c r="D53" s="55">
        <f>1/D48-E53*F48-F53*F48^3</f>
        <v>0.000886198585279162</v>
      </c>
      <c r="E53" s="55">
        <f>(1/D50-1/D48-F53*(F50^3-F48^3))/(F50-F48)</f>
        <v>0.000251430491700584</v>
      </c>
      <c r="F53" s="55">
        <f>((1/D49-1/D48)-(1/D50-1/D48)*(F49-F48)/(F50-F48))/((F49^3-F48^3)-(F50^3-F48^3)/(F50-F48)*(F49-F48))</f>
        <v>1.94616938827166e-7</v>
      </c>
      <c r="G53" s="54"/>
    </row>
    <row r="54" spans="2:7">
      <c r="B54" s="53"/>
      <c r="C54" s="16"/>
      <c r="D54" s="55"/>
      <c r="E54" s="55"/>
      <c r="F54" s="55"/>
      <c r="G54" s="54"/>
    </row>
    <row r="55" spans="2:7">
      <c r="B55" s="53"/>
      <c r="C55" s="16"/>
      <c r="D55" s="55"/>
      <c r="E55" s="55"/>
      <c r="F55" s="55"/>
      <c r="G55" s="54"/>
    </row>
    <row r="56" ht="13.95" spans="2:7">
      <c r="B56" s="56"/>
      <c r="C56" s="57"/>
      <c r="D56" s="58"/>
      <c r="E56" s="58"/>
      <c r="F56" s="58"/>
      <c r="G56" s="59"/>
    </row>
    <row r="57" ht="13.95" spans="2:7">
      <c r="B57" s="16"/>
      <c r="C57" s="16"/>
      <c r="D57" s="55"/>
      <c r="E57" s="55"/>
      <c r="F57" s="55"/>
      <c r="G57" s="16"/>
    </row>
    <row r="58" spans="2:7">
      <c r="B58" s="50"/>
      <c r="C58" s="51"/>
      <c r="D58" s="51" t="s">
        <v>44</v>
      </c>
      <c r="E58" s="51" t="s">
        <v>54</v>
      </c>
      <c r="F58" s="51" t="s">
        <v>55</v>
      </c>
      <c r="G58" s="52" t="s">
        <v>56</v>
      </c>
    </row>
    <row r="59" spans="2:7">
      <c r="B59" s="53">
        <v>1</v>
      </c>
      <c r="C59" s="16" t="s">
        <v>57</v>
      </c>
      <c r="D59" s="16">
        <f>Accuracy!D3+273.15</f>
        <v>233.15</v>
      </c>
      <c r="E59" s="16">
        <f>LOOKUP(D59-273.15,C5:C40,D5:D40)</f>
        <v>188500</v>
      </c>
      <c r="F59" s="16">
        <f t="shared" ref="F59:F62" si="14">LN(E59)</f>
        <v>12.1468532858702</v>
      </c>
      <c r="G59" s="54">
        <f t="shared" ref="G59:G62" si="15">1/D59</f>
        <v>0.00428908428050611</v>
      </c>
    </row>
    <row r="60" spans="2:7">
      <c r="B60" s="53">
        <v>2</v>
      </c>
      <c r="C60" s="16" t="s">
        <v>63</v>
      </c>
      <c r="D60" s="16">
        <f>LOOKUP((D62-D59)/3+D59-273.15,C5:C40)+273.15</f>
        <v>283.15</v>
      </c>
      <c r="E60" s="16">
        <f>LOOKUP(D60-273.15,C5:C40,D5:D40)</f>
        <v>17960</v>
      </c>
      <c r="F60" s="16">
        <f t="shared" si="14"/>
        <v>9.79590234185619</v>
      </c>
      <c r="G60" s="54">
        <f t="shared" si="15"/>
        <v>0.00353169698039908</v>
      </c>
    </row>
    <row r="61" spans="2:7">
      <c r="B61" s="53">
        <v>3</v>
      </c>
      <c r="C61" s="16" t="s">
        <v>64</v>
      </c>
      <c r="D61" s="16">
        <f>LOOKUP((D62-D59)/3*2+D59-273.15,C5:C40)+273.15</f>
        <v>333.15</v>
      </c>
      <c r="E61" s="16">
        <f>LOOKUP(D61-273.15,C5:C40,D5:D40)</f>
        <v>3020</v>
      </c>
      <c r="F61" s="16">
        <f t="shared" si="14"/>
        <v>8.01301211036892</v>
      </c>
      <c r="G61" s="54">
        <f t="shared" si="15"/>
        <v>0.0030016509079994</v>
      </c>
    </row>
    <row r="62" spans="2:7">
      <c r="B62" s="53">
        <v>4</v>
      </c>
      <c r="C62" s="16" t="s">
        <v>59</v>
      </c>
      <c r="D62" s="16">
        <f>Accuracy!D4+273.15</f>
        <v>383.15</v>
      </c>
      <c r="E62" s="16">
        <f>LOOKUP(D62-273.15,C5:C40,D5:D40)</f>
        <v>757.6</v>
      </c>
      <c r="F62" s="16">
        <f t="shared" si="14"/>
        <v>6.63015554187187</v>
      </c>
      <c r="G62" s="54">
        <f t="shared" si="15"/>
        <v>0.00260994388620645</v>
      </c>
    </row>
    <row r="63" spans="2:7">
      <c r="B63" s="53"/>
      <c r="C63" s="16"/>
      <c r="D63" s="16"/>
      <c r="E63" s="16"/>
      <c r="F63" s="16"/>
      <c r="G63" s="54"/>
    </row>
    <row r="64" spans="2:7">
      <c r="B64" s="53" t="s">
        <v>65</v>
      </c>
      <c r="C64" s="16"/>
      <c r="D64" s="16" t="s">
        <v>60</v>
      </c>
      <c r="E64" s="16" t="s">
        <v>61</v>
      </c>
      <c r="F64" s="16" t="s">
        <v>62</v>
      </c>
      <c r="G64" s="54" t="s">
        <v>66</v>
      </c>
    </row>
    <row r="65" spans="2:7">
      <c r="B65" s="53"/>
      <c r="C65" s="16"/>
      <c r="D65" s="16">
        <f>F59-E65*G59-F65*G59^2-G65*G59^3</f>
        <v>-4.22127873886709</v>
      </c>
      <c r="E65" s="16">
        <f>((F60-F59)-F65*(G60^2-G59^2)-G65*(G60^3-G59^3))/(G60-G59)</f>
        <v>4681.16737811254</v>
      </c>
      <c r="F65" s="16">
        <f>((F61-F59)-(F60-F59)*(G61-G59)/(G60-G59)-G65*((G61^3-G59^3)-(G60^3-G59^3)*(G61-G59)/(G60-G59)))/((G61^2-G59^2)-(G60^2-G59^2)*(G61-G59)/(G60-G59))</f>
        <v>-201660.151024125</v>
      </c>
      <c r="G65" s="54">
        <f>((F62-F59)-(F60-F59)*(G62-G59)/(G60-G59)-((F61-F59)-(F60-F59)*(G61-G59)/(G60-G59))*((G62^2-G59^2)-(G60^2-G59^2)*(G62-G59)/(G60-G59))/((G61^2-G59^2)-(G60^2-G59^2)*(G61-G59)/(G60-G59)))/((G62^3-G59^3)-(G60^3-G59^3)*(G62-G59)/(G60-G59)-((G61^3-G59^3)-(G60^3-G59^3)*(G61-G59)/(G60-G59))/((G61^2-G59^2)-(G60^2-G59^2)*(G61-G59)/(G60-G59)))</f>
        <v>-0.69486896708829</v>
      </c>
    </row>
    <row r="66" spans="2:7">
      <c r="B66" s="53"/>
      <c r="C66" s="16"/>
      <c r="D66" s="16"/>
      <c r="E66" s="16"/>
      <c r="F66" s="16"/>
      <c r="G66" s="54"/>
    </row>
    <row r="67" spans="2:7">
      <c r="B67" s="53"/>
      <c r="C67" s="16"/>
      <c r="D67" s="16"/>
      <c r="E67" s="16"/>
      <c r="F67" s="16"/>
      <c r="G67" s="54"/>
    </row>
    <row r="68" ht="13.95" spans="2:7">
      <c r="B68" s="56"/>
      <c r="C68" s="57"/>
      <c r="D68" s="57"/>
      <c r="E68" s="57"/>
      <c r="F68" s="57"/>
      <c r="G68" s="59"/>
    </row>
  </sheetData>
  <pageMargins left="0.75" right="0.75" top="1" bottom="1" header="0.5" footer="0.5"/>
  <pageSetup paperSize="1" orientation="portrait"/>
  <headerFooter alignWithMargins="0"/>
  <drawing r:id="rId1"/>
  <legacyDrawing r:id="rId2"/>
  <oleObjects>
    <mc:AlternateContent xmlns:mc="http://schemas.openxmlformats.org/markup-compatibility/2006">
      <mc:Choice Requires="x14">
        <oleObject shapeId="1093" progId="Equation.3" r:id="rId3">
          <objectPr defaultSize="0" r:id="rId4">
            <anchor moveWithCells="1">
              <from>
                <xdr:col>3</xdr:col>
                <xdr:colOff>28575</xdr:colOff>
                <xdr:row>53</xdr:row>
                <xdr:rowOff>28575</xdr:rowOff>
              </from>
              <to>
                <xdr:col>5</xdr:col>
                <xdr:colOff>523875</xdr:colOff>
                <xdr:row>55</xdr:row>
                <xdr:rowOff>95250</xdr:rowOff>
              </to>
            </anchor>
          </objectPr>
        </oleObject>
      </mc:Choice>
      <mc:Fallback>
        <oleObject shapeId="1093" progId="Equation.3" r:id="rId3"/>
      </mc:Fallback>
    </mc:AlternateContent>
    <mc:AlternateContent xmlns:mc="http://schemas.openxmlformats.org/markup-compatibility/2006">
      <mc:Choice Requires="x14">
        <oleObject shapeId="1094" progId="Equation.3" r:id="rId5">
          <objectPr defaultSize="0" r:id="rId6">
            <anchor moveWithCells="1">
              <from>
                <xdr:col>3</xdr:col>
                <xdr:colOff>28575</xdr:colOff>
                <xdr:row>65</xdr:row>
                <xdr:rowOff>66675</xdr:rowOff>
              </from>
              <to>
                <xdr:col>6</xdr:col>
                <xdr:colOff>209550</xdr:colOff>
                <xdr:row>67</xdr:row>
                <xdr:rowOff>133350</xdr:rowOff>
              </to>
            </anchor>
          </objectPr>
        </oleObject>
      </mc:Choice>
      <mc:Fallback>
        <oleObject shapeId="1094" progId="Equation.3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C2:AS64"/>
  <sheetViews>
    <sheetView zoomScale="75" zoomScaleNormal="75" topLeftCell="D1" workbookViewId="0">
      <selection activeCell="AC5" sqref="AC5"/>
    </sheetView>
  </sheetViews>
  <sheetFormatPr defaultColWidth="9" defaultRowHeight="13.2"/>
  <cols>
    <col min="29" max="29" width="10.287037037037" customWidth="1"/>
    <col min="30" max="30" width="11.4259259259259" customWidth="1"/>
    <col min="48" max="48" width="13.1388888888889" customWidth="1"/>
  </cols>
  <sheetData>
    <row r="2" spans="9:23">
      <c r="I2" t="s">
        <v>67</v>
      </c>
      <c r="L2" t="s">
        <v>68</v>
      </c>
      <c r="M2" t="s">
        <v>68</v>
      </c>
      <c r="N2" t="s">
        <v>69</v>
      </c>
      <c r="O2" t="s">
        <v>69</v>
      </c>
      <c r="T2" t="s">
        <v>68</v>
      </c>
      <c r="U2" t="s">
        <v>68</v>
      </c>
      <c r="V2" t="s">
        <v>69</v>
      </c>
      <c r="W2" t="s">
        <v>69</v>
      </c>
    </row>
    <row r="3" spans="9:23">
      <c r="I3" t="s">
        <v>42</v>
      </c>
      <c r="L3" t="s">
        <v>70</v>
      </c>
      <c r="M3" t="s">
        <v>71</v>
      </c>
      <c r="N3" t="s">
        <v>70</v>
      </c>
      <c r="O3" t="s">
        <v>71</v>
      </c>
      <c r="T3" t="s">
        <v>70</v>
      </c>
      <c r="U3" t="s">
        <v>71</v>
      </c>
      <c r="V3" t="s">
        <v>70</v>
      </c>
      <c r="W3" t="s">
        <v>71</v>
      </c>
    </row>
    <row r="4" spans="3:30">
      <c r="C4" s="8" t="s">
        <v>42</v>
      </c>
      <c r="D4" s="8" t="s">
        <v>43</v>
      </c>
      <c r="E4" s="8" t="str">
        <f>Thermistor!T4</f>
        <v>Therm Min</v>
      </c>
      <c r="F4" s="8" t="str">
        <f>Thermistor!U4</f>
        <v>Therm Max</v>
      </c>
      <c r="G4" s="17"/>
      <c r="H4" s="17"/>
      <c r="I4" s="17" t="s">
        <v>72</v>
      </c>
      <c r="K4" t="s">
        <v>73</v>
      </c>
      <c r="P4" t="s">
        <v>74</v>
      </c>
      <c r="Q4" t="s">
        <v>75</v>
      </c>
      <c r="S4" t="s">
        <v>76</v>
      </c>
      <c r="X4" t="s">
        <v>77</v>
      </c>
      <c r="Y4" t="s">
        <v>78</v>
      </c>
      <c r="AB4" t="s">
        <v>79</v>
      </c>
      <c r="AC4" t="s">
        <v>80</v>
      </c>
      <c r="AD4" t="s">
        <v>81</v>
      </c>
    </row>
    <row r="5" spans="3:42">
      <c r="C5" s="8">
        <f>Accuracy!F4</f>
        <v>-40</v>
      </c>
      <c r="D5" s="8">
        <f>Accuracy!G4</f>
        <v>188500</v>
      </c>
      <c r="E5" s="38">
        <f>Thermistor!T5</f>
        <v>181214.704666179</v>
      </c>
      <c r="F5" s="38">
        <f>Thermistor!U5</f>
        <v>196058.575050233</v>
      </c>
      <c r="G5" s="39"/>
      <c r="H5" s="39">
        <v>0</v>
      </c>
      <c r="I5" s="39">
        <f t="shared" ref="I5:I40" si="0">$I$42+H5*$I$44</f>
        <v>-40</v>
      </c>
      <c r="K5">
        <f>Accuracy!$D$12</f>
        <v>18000</v>
      </c>
      <c r="L5" s="32">
        <f>Accuracy!$D$12*(1-Accuracy!$D$14)*(1-Accuracy!$D$16*('Resistor Network'!I5-25))</f>
        <v>17820</v>
      </c>
      <c r="M5" s="32">
        <f>Accuracy!$D$12*(1-Accuracy!$D$14)*(1+Accuracy!$D$16*('Resistor Network'!I5-25))</f>
        <v>17820</v>
      </c>
      <c r="N5" s="32">
        <f>Accuracy!$D$12*(1+Accuracy!$D$14)*(1-Accuracy!$D$16*('Resistor Network'!I5-25))</f>
        <v>18180</v>
      </c>
      <c r="O5" s="32">
        <f>Accuracy!$D$12*(1+Accuracy!$D$14)*(1+Accuracy!$D$16*('Resistor Network'!I5-25))</f>
        <v>18180</v>
      </c>
      <c r="P5" s="32">
        <f>MINA(L5:O5)</f>
        <v>17820</v>
      </c>
      <c r="Q5" s="32">
        <f>MAX(L5:O5)</f>
        <v>18180</v>
      </c>
      <c r="S5">
        <f>Accuracy!$D$19</f>
        <v>0</v>
      </c>
      <c r="T5" s="32">
        <f>Accuracy!$D$19*(1-Accuracy!$D$21)*(1-Accuracy!$D$23*('Resistor Network'!I5-25))</f>
        <v>0</v>
      </c>
      <c r="U5" s="32">
        <f>Accuracy!$D$19*(1-Accuracy!$D$21)*(1+Accuracy!$D$23*('Resistor Network'!I5-25))</f>
        <v>0</v>
      </c>
      <c r="V5" s="32">
        <f>Accuracy!$D$19*(1+Accuracy!$D$21)*(1-Accuracy!$D$23*('Resistor Network'!I5-25))</f>
        <v>0</v>
      </c>
      <c r="W5" s="32">
        <f>Accuracy!$D$19*(1-Accuracy!$D$21)*(1+Accuracy!$D$23*('Resistor Network'!I5-25))</f>
        <v>0</v>
      </c>
      <c r="X5" s="32">
        <f>MINA(T5:W5)</f>
        <v>0</v>
      </c>
      <c r="Y5" s="32">
        <f>MAX(T5:W5)</f>
        <v>0</v>
      </c>
      <c r="AB5" s="40">
        <f>(D5+S5)/(D5+S5+K5)</f>
        <v>0.912832929782082</v>
      </c>
      <c r="AC5" s="40">
        <f>(E5+X5)/(E5+X5+Q5)</f>
        <v>0.908824058139175</v>
      </c>
      <c r="AD5" s="40">
        <f>(F5+Y5)/(F5+Y5+P5)</f>
        <v>0.91668169663177</v>
      </c>
      <c r="AE5" s="40"/>
      <c r="AF5" s="40"/>
      <c r="AH5" s="36"/>
      <c r="AI5" s="45"/>
      <c r="AJ5" s="36"/>
      <c r="AL5" s="32"/>
      <c r="AM5" s="32"/>
      <c r="AN5" s="32"/>
      <c r="AP5" s="40"/>
    </row>
    <row r="6" spans="3:42">
      <c r="C6" s="8">
        <f>Accuracy!F5</f>
        <v>-35</v>
      </c>
      <c r="D6" s="8">
        <f>Accuracy!G5</f>
        <v>144100</v>
      </c>
      <c r="E6" s="38">
        <f>Thermistor!T6</f>
        <v>138903.291037186</v>
      </c>
      <c r="F6" s="38">
        <f>Thermistor!U6</f>
        <v>149476.181334261</v>
      </c>
      <c r="G6" s="39"/>
      <c r="H6" s="39">
        <v>1</v>
      </c>
      <c r="I6" s="39">
        <f t="shared" si="0"/>
        <v>-38.6666666666667</v>
      </c>
      <c r="K6">
        <f>Accuracy!$D$12</f>
        <v>18000</v>
      </c>
      <c r="L6" s="32">
        <f>Accuracy!$D$12*(1-Accuracy!$D$14)*(1-Accuracy!$D$16*('Resistor Network'!I6-25))</f>
        <v>17820</v>
      </c>
      <c r="M6" s="32">
        <f>Accuracy!$D$12*(1-Accuracy!$D$14)*(1+Accuracy!$D$16*('Resistor Network'!I6-25))</f>
        <v>17820</v>
      </c>
      <c r="N6" s="32">
        <f>Accuracy!$D$12*(1+Accuracy!$D$14)*(1-Accuracy!$D$16*('Resistor Network'!I6-25))</f>
        <v>18180</v>
      </c>
      <c r="O6" s="32">
        <f>Accuracy!$D$12*(1+Accuracy!$D$14)*(1+Accuracy!$D$16*('Resistor Network'!I6-25))</f>
        <v>18180</v>
      </c>
      <c r="P6" s="32">
        <f t="shared" ref="P6:P40" si="1">MINA(L6:O6)</f>
        <v>17820</v>
      </c>
      <c r="Q6" s="32">
        <f t="shared" ref="Q6:Q40" si="2">MAX(L6:O6)</f>
        <v>18180</v>
      </c>
      <c r="S6">
        <f>Accuracy!$D$19</f>
        <v>0</v>
      </c>
      <c r="T6" s="32">
        <f>Accuracy!$D$19*(1-Accuracy!$D$21)*(1-Accuracy!$D$23*('Resistor Network'!I6-25))</f>
        <v>0</v>
      </c>
      <c r="U6" s="32">
        <f>Accuracy!$D$19*(1-Accuracy!$D$21)*(1+Accuracy!$D$23*('Resistor Network'!I6-25))</f>
        <v>0</v>
      </c>
      <c r="V6" s="32">
        <f>Accuracy!$D$19*(1+Accuracy!$D$21)*(1-Accuracy!$D$23*('Resistor Network'!I6-25))</f>
        <v>0</v>
      </c>
      <c r="W6" s="32">
        <f>Accuracy!$D$19*(1-Accuracy!$D$21)*(1+Accuracy!$D$23*('Resistor Network'!I6-25))</f>
        <v>0</v>
      </c>
      <c r="X6" s="32">
        <f t="shared" ref="X6:X40" si="3">MINA(T6:W6)</f>
        <v>0</v>
      </c>
      <c r="Y6" s="32">
        <f t="shared" ref="Y6:Y40" si="4">MAX(T6:W6)</f>
        <v>0</v>
      </c>
      <c r="AB6" s="40">
        <f t="shared" ref="AB6:AB34" si="5">(D6+S6)/(D6+S6+K6)</f>
        <v>0.888957433682912</v>
      </c>
      <c r="AC6" s="40">
        <f t="shared" ref="AC6:AC40" si="6">(E6+X6)/(E6+X6+Q6)</f>
        <v>0.884265220826725</v>
      </c>
      <c r="AD6" s="40">
        <f t="shared" ref="AD6:AD40" si="7">(F6+Y6)/(F6+Y6+P6)</f>
        <v>0.89348232662648</v>
      </c>
      <c r="AE6" s="40"/>
      <c r="AF6" s="40"/>
      <c r="AH6" s="36"/>
      <c r="AI6" s="45"/>
      <c r="AJ6" s="36"/>
      <c r="AL6" s="32"/>
      <c r="AM6" s="32"/>
      <c r="AN6" s="32"/>
      <c r="AP6" s="40"/>
    </row>
    <row r="7" spans="3:42">
      <c r="C7" s="8">
        <f>Accuracy!F6</f>
        <v>-30</v>
      </c>
      <c r="D7" s="8">
        <f>Accuracy!G6</f>
        <v>111300</v>
      </c>
      <c r="E7" s="38">
        <f>Thermistor!T7</f>
        <v>107563.619387612</v>
      </c>
      <c r="F7" s="38">
        <f>Thermistor!U7</f>
        <v>115154.65267457</v>
      </c>
      <c r="G7" s="39"/>
      <c r="H7" s="39">
        <v>2</v>
      </c>
      <c r="I7" s="39">
        <f t="shared" si="0"/>
        <v>-37.3333333333333</v>
      </c>
      <c r="K7">
        <f>Accuracy!$D$12</f>
        <v>18000</v>
      </c>
      <c r="L7" s="32">
        <f>Accuracy!$D$12*(1-Accuracy!$D$14)*(1-Accuracy!$D$16*('Resistor Network'!I7-25))</f>
        <v>17820</v>
      </c>
      <c r="M7" s="32">
        <f>Accuracy!$D$12*(1-Accuracy!$D$14)*(1+Accuracy!$D$16*('Resistor Network'!I7-25))</f>
        <v>17820</v>
      </c>
      <c r="N7" s="32">
        <f>Accuracy!$D$12*(1+Accuracy!$D$14)*(1-Accuracy!$D$16*('Resistor Network'!I7-25))</f>
        <v>18180</v>
      </c>
      <c r="O7" s="32">
        <f>Accuracy!$D$12*(1+Accuracy!$D$14)*(1+Accuracy!$D$16*('Resistor Network'!I7-25))</f>
        <v>18180</v>
      </c>
      <c r="P7" s="32">
        <f t="shared" si="1"/>
        <v>17820</v>
      </c>
      <c r="Q7" s="32">
        <f t="shared" si="2"/>
        <v>18180</v>
      </c>
      <c r="S7">
        <f>Accuracy!$D$19</f>
        <v>0</v>
      </c>
      <c r="T7" s="32">
        <f>Accuracy!$D$19*(1-Accuracy!$D$21)*(1-Accuracy!$D$23*('Resistor Network'!I7-25))</f>
        <v>0</v>
      </c>
      <c r="U7" s="32">
        <f>Accuracy!$D$19*(1-Accuracy!$D$21)*(1+Accuracy!$D$23*('Resistor Network'!I7-25))</f>
        <v>0</v>
      </c>
      <c r="V7" s="32">
        <f>Accuracy!$D$19*(1+Accuracy!$D$21)*(1-Accuracy!$D$23*('Resistor Network'!I7-25))</f>
        <v>0</v>
      </c>
      <c r="W7" s="32">
        <f>Accuracy!$D$19*(1-Accuracy!$D$21)*(1+Accuracy!$D$23*('Resistor Network'!I7-25))</f>
        <v>0</v>
      </c>
      <c r="X7" s="32">
        <f t="shared" si="3"/>
        <v>0</v>
      </c>
      <c r="Y7" s="32">
        <f t="shared" si="4"/>
        <v>0</v>
      </c>
      <c r="AB7" s="40">
        <f t="shared" si="5"/>
        <v>0.860788863109049</v>
      </c>
      <c r="AC7" s="40">
        <f t="shared" si="6"/>
        <v>0.855420099337532</v>
      </c>
      <c r="AD7" s="40">
        <f t="shared" si="7"/>
        <v>0.865989497685614</v>
      </c>
      <c r="AE7" s="40"/>
      <c r="AF7" s="40"/>
      <c r="AH7" s="36"/>
      <c r="AI7" s="45"/>
      <c r="AJ7" s="36"/>
      <c r="AL7" s="32"/>
      <c r="AM7" s="32"/>
      <c r="AN7" s="32"/>
      <c r="AP7" s="40"/>
    </row>
    <row r="8" spans="3:42">
      <c r="C8" s="8">
        <f>Accuracy!F7</f>
        <v>-25</v>
      </c>
      <c r="D8" s="8">
        <f>Accuracy!G7</f>
        <v>86430</v>
      </c>
      <c r="E8" s="38">
        <f>Thermistor!T8</f>
        <v>83740.0204218725</v>
      </c>
      <c r="F8" s="38">
        <f>Thermistor!U8</f>
        <v>89197.4691178727</v>
      </c>
      <c r="G8" s="39"/>
      <c r="H8" s="39">
        <v>3</v>
      </c>
      <c r="I8" s="39">
        <f t="shared" si="0"/>
        <v>-36</v>
      </c>
      <c r="K8">
        <f>Accuracy!$D$12</f>
        <v>18000</v>
      </c>
      <c r="L8" s="32">
        <f>Accuracy!$D$12*(1-Accuracy!$D$14)*(1-Accuracy!$D$16*('Resistor Network'!I8-25))</f>
        <v>17820</v>
      </c>
      <c r="M8" s="32">
        <f>Accuracy!$D$12*(1-Accuracy!$D$14)*(1+Accuracy!$D$16*('Resistor Network'!I8-25))</f>
        <v>17820</v>
      </c>
      <c r="N8" s="32">
        <f>Accuracy!$D$12*(1+Accuracy!$D$14)*(1-Accuracy!$D$16*('Resistor Network'!I8-25))</f>
        <v>18180</v>
      </c>
      <c r="O8" s="32">
        <f>Accuracy!$D$12*(1+Accuracy!$D$14)*(1+Accuracy!$D$16*('Resistor Network'!I8-25))</f>
        <v>18180</v>
      </c>
      <c r="P8" s="32">
        <f t="shared" si="1"/>
        <v>17820</v>
      </c>
      <c r="Q8" s="32">
        <f t="shared" si="2"/>
        <v>18180</v>
      </c>
      <c r="S8">
        <f>Accuracy!$D$19</f>
        <v>0</v>
      </c>
      <c r="T8" s="32">
        <f>Accuracy!$D$19*(1-Accuracy!$D$21)*(1-Accuracy!$D$23*('Resistor Network'!I8-25))</f>
        <v>0</v>
      </c>
      <c r="U8" s="32">
        <f>Accuracy!$D$19*(1-Accuracy!$D$21)*(1+Accuracy!$D$23*('Resistor Network'!I8-25))</f>
        <v>0</v>
      </c>
      <c r="V8" s="32">
        <f>Accuracy!$D$19*(1+Accuracy!$D$21)*(1-Accuracy!$D$23*('Resistor Network'!I8-25))</f>
        <v>0</v>
      </c>
      <c r="W8" s="32">
        <f>Accuracy!$D$19*(1-Accuracy!$D$21)*(1+Accuracy!$D$23*('Resistor Network'!I8-25))</f>
        <v>0</v>
      </c>
      <c r="X8" s="32">
        <f t="shared" si="3"/>
        <v>0</v>
      </c>
      <c r="Y8" s="32">
        <f t="shared" si="4"/>
        <v>0</v>
      </c>
      <c r="AB8" s="40">
        <f t="shared" si="5"/>
        <v>0.827635736857225</v>
      </c>
      <c r="AC8" s="40">
        <f t="shared" si="6"/>
        <v>0.821624839508976</v>
      </c>
      <c r="AD8" s="40">
        <f t="shared" si="7"/>
        <v>0.833485129606528</v>
      </c>
      <c r="AE8" s="40"/>
      <c r="AF8" s="40"/>
      <c r="AH8" s="36"/>
      <c r="AI8" s="45"/>
      <c r="AJ8" s="36"/>
      <c r="AL8" s="32"/>
      <c r="AM8" s="32"/>
      <c r="AN8" s="32"/>
      <c r="AP8" s="40"/>
    </row>
    <row r="9" spans="3:42">
      <c r="C9" s="8">
        <f>Accuracy!F8</f>
        <v>-20</v>
      </c>
      <c r="D9" s="8">
        <f>Accuracy!G8</f>
        <v>67770</v>
      </c>
      <c r="E9" s="38">
        <f>Thermistor!T9</f>
        <v>65820.671006581</v>
      </c>
      <c r="F9" s="38">
        <f>Thermistor!U9</f>
        <v>69770.0821410776</v>
      </c>
      <c r="G9" s="39"/>
      <c r="H9" s="39">
        <v>4</v>
      </c>
      <c r="I9" s="39">
        <f t="shared" si="0"/>
        <v>-34.6666666666667</v>
      </c>
      <c r="K9">
        <f>Accuracy!$D$12</f>
        <v>18000</v>
      </c>
      <c r="L9" s="32">
        <f>Accuracy!$D$12*(1-Accuracy!$D$14)*(1-Accuracy!$D$16*('Resistor Network'!I9-25))</f>
        <v>17820</v>
      </c>
      <c r="M9" s="32">
        <f>Accuracy!$D$12*(1-Accuracy!$D$14)*(1+Accuracy!$D$16*('Resistor Network'!I9-25))</f>
        <v>17820</v>
      </c>
      <c r="N9" s="32">
        <f>Accuracy!$D$12*(1+Accuracy!$D$14)*(1-Accuracy!$D$16*('Resistor Network'!I9-25))</f>
        <v>18180</v>
      </c>
      <c r="O9" s="32">
        <f>Accuracy!$D$12*(1+Accuracy!$D$14)*(1+Accuracy!$D$16*('Resistor Network'!I9-25))</f>
        <v>18180</v>
      </c>
      <c r="P9" s="32">
        <f t="shared" si="1"/>
        <v>17820</v>
      </c>
      <c r="Q9" s="32">
        <f t="shared" si="2"/>
        <v>18180</v>
      </c>
      <c r="S9">
        <f>Accuracy!$D$19</f>
        <v>0</v>
      </c>
      <c r="T9" s="32">
        <f>Accuracy!$D$19*(1-Accuracy!$D$21)*(1-Accuracy!$D$23*('Resistor Network'!I9-25))</f>
        <v>0</v>
      </c>
      <c r="U9" s="32">
        <f>Accuracy!$D$19*(1-Accuracy!$D$21)*(1+Accuracy!$D$23*('Resistor Network'!I9-25))</f>
        <v>0</v>
      </c>
      <c r="V9" s="32">
        <f>Accuracy!$D$19*(1+Accuracy!$D$21)*(1-Accuracy!$D$23*('Resistor Network'!I9-25))</f>
        <v>0</v>
      </c>
      <c r="W9" s="32">
        <f>Accuracy!$D$19*(1-Accuracy!$D$21)*(1+Accuracy!$D$23*('Resistor Network'!I9-25))</f>
        <v>0</v>
      </c>
      <c r="X9" s="32">
        <f t="shared" si="3"/>
        <v>0</v>
      </c>
      <c r="Y9" s="32">
        <f t="shared" si="4"/>
        <v>0</v>
      </c>
      <c r="AB9" s="40">
        <f t="shared" si="5"/>
        <v>0.790136411332634</v>
      </c>
      <c r="AC9" s="40">
        <f t="shared" si="6"/>
        <v>0.783573157426615</v>
      </c>
      <c r="AD9" s="40">
        <f t="shared" si="7"/>
        <v>0.796552308612999</v>
      </c>
      <c r="AE9" s="40"/>
      <c r="AF9" s="40"/>
      <c r="AH9" s="36"/>
      <c r="AI9" s="45"/>
      <c r="AJ9" s="36"/>
      <c r="AL9" s="32"/>
      <c r="AM9" s="32"/>
      <c r="AN9" s="32"/>
      <c r="AP9" s="40"/>
    </row>
    <row r="10" spans="3:42">
      <c r="C10" s="8">
        <f>Accuracy!F9</f>
        <v>-15</v>
      </c>
      <c r="D10" s="8">
        <f>Accuracy!G9</f>
        <v>53410</v>
      </c>
      <c r="E10" s="38">
        <f>Thermistor!T10</f>
        <v>51997.3902324565</v>
      </c>
      <c r="F10" s="38">
        <f>Thermistor!U10</f>
        <v>54855.499947949</v>
      </c>
      <c r="G10" s="39"/>
      <c r="H10" s="39">
        <v>5</v>
      </c>
      <c r="I10" s="39">
        <f t="shared" si="0"/>
        <v>-33.3333333333333</v>
      </c>
      <c r="K10">
        <f>Accuracy!$D$12</f>
        <v>18000</v>
      </c>
      <c r="L10" s="32">
        <f>Accuracy!$D$12*(1-Accuracy!$D$14)*(1-Accuracy!$D$16*('Resistor Network'!I10-25))</f>
        <v>17820</v>
      </c>
      <c r="M10" s="32">
        <f>Accuracy!$D$12*(1-Accuracy!$D$14)*(1+Accuracy!$D$16*('Resistor Network'!I10-25))</f>
        <v>17820</v>
      </c>
      <c r="N10" s="32">
        <f>Accuracy!$D$12*(1+Accuracy!$D$14)*(1-Accuracy!$D$16*('Resistor Network'!I10-25))</f>
        <v>18180</v>
      </c>
      <c r="O10" s="32">
        <f>Accuracy!$D$12*(1+Accuracy!$D$14)*(1+Accuracy!$D$16*('Resistor Network'!I10-25))</f>
        <v>18180</v>
      </c>
      <c r="P10" s="32">
        <f t="shared" si="1"/>
        <v>17820</v>
      </c>
      <c r="Q10" s="32">
        <f t="shared" si="2"/>
        <v>18180</v>
      </c>
      <c r="S10">
        <f>Accuracy!$D$19</f>
        <v>0</v>
      </c>
      <c r="T10" s="32">
        <f>Accuracy!$D$19*(1-Accuracy!$D$21)*(1-Accuracy!$D$23*('Resistor Network'!I10-25))</f>
        <v>0</v>
      </c>
      <c r="U10" s="32">
        <f>Accuracy!$D$19*(1-Accuracy!$D$21)*(1+Accuracy!$D$23*('Resistor Network'!I10-25))</f>
        <v>0</v>
      </c>
      <c r="V10" s="32">
        <f>Accuracy!$D$19*(1+Accuracy!$D$21)*(1-Accuracy!$D$23*('Resistor Network'!I10-25))</f>
        <v>0</v>
      </c>
      <c r="W10" s="32">
        <f>Accuracy!$D$19*(1-Accuracy!$D$21)*(1+Accuracy!$D$23*('Resistor Network'!I10-25))</f>
        <v>0</v>
      </c>
      <c r="X10" s="32">
        <f t="shared" si="3"/>
        <v>0</v>
      </c>
      <c r="Y10" s="32">
        <f t="shared" si="4"/>
        <v>0</v>
      </c>
      <c r="AB10" s="40">
        <f t="shared" si="5"/>
        <v>0.74793446296037</v>
      </c>
      <c r="AC10" s="40">
        <f t="shared" si="6"/>
        <v>0.740942204607776</v>
      </c>
      <c r="AD10" s="40">
        <f t="shared" si="7"/>
        <v>0.754800448393711</v>
      </c>
      <c r="AE10" s="40"/>
      <c r="AF10" s="40"/>
      <c r="AH10" s="36"/>
      <c r="AI10" s="45"/>
      <c r="AJ10" s="36"/>
      <c r="AL10" s="32"/>
      <c r="AM10" s="32"/>
      <c r="AN10" s="32"/>
      <c r="AP10" s="40"/>
    </row>
    <row r="11" spans="3:42">
      <c r="C11" s="8">
        <f>Accuracy!F10</f>
        <v>-10</v>
      </c>
      <c r="D11" s="8">
        <f>Accuracy!G10</f>
        <v>42470</v>
      </c>
      <c r="E11" s="38">
        <f>Thermistor!T11</f>
        <v>41441.611301701</v>
      </c>
      <c r="F11" s="38">
        <f>Thermistor!U11</f>
        <v>43519.5561480491</v>
      </c>
      <c r="G11" s="39"/>
      <c r="H11" s="39">
        <v>6</v>
      </c>
      <c r="I11" s="39">
        <f t="shared" si="0"/>
        <v>-32</v>
      </c>
      <c r="K11">
        <f>Accuracy!$D$12</f>
        <v>18000</v>
      </c>
      <c r="L11" s="32">
        <f>Accuracy!$D$12*(1-Accuracy!$D$14)*(1-Accuracy!$D$16*('Resistor Network'!I11-25))</f>
        <v>17820</v>
      </c>
      <c r="M11" s="32">
        <f>Accuracy!$D$12*(1-Accuracy!$D$14)*(1+Accuracy!$D$16*('Resistor Network'!I11-25))</f>
        <v>17820</v>
      </c>
      <c r="N11" s="32">
        <f>Accuracy!$D$12*(1+Accuracy!$D$14)*(1-Accuracy!$D$16*('Resistor Network'!I11-25))</f>
        <v>18180</v>
      </c>
      <c r="O11" s="32">
        <f>Accuracy!$D$12*(1+Accuracy!$D$14)*(1+Accuracy!$D$16*('Resistor Network'!I11-25))</f>
        <v>18180</v>
      </c>
      <c r="P11" s="32">
        <f t="shared" si="1"/>
        <v>17820</v>
      </c>
      <c r="Q11" s="32">
        <f t="shared" si="2"/>
        <v>18180</v>
      </c>
      <c r="S11">
        <f>Accuracy!$D$19</f>
        <v>0</v>
      </c>
      <c r="T11" s="32">
        <f>Accuracy!$D$19*(1-Accuracy!$D$21)*(1-Accuracy!$D$23*('Resistor Network'!I11-25))</f>
        <v>0</v>
      </c>
      <c r="U11" s="32">
        <f>Accuracy!$D$19*(1-Accuracy!$D$21)*(1+Accuracy!$D$23*('Resistor Network'!I11-25))</f>
        <v>0</v>
      </c>
      <c r="V11" s="32">
        <f>Accuracy!$D$19*(1+Accuracy!$D$21)*(1-Accuracy!$D$23*('Resistor Network'!I11-25))</f>
        <v>0</v>
      </c>
      <c r="W11" s="32">
        <f>Accuracy!$D$19*(1-Accuracy!$D$21)*(1+Accuracy!$D$23*('Resistor Network'!I11-25))</f>
        <v>0</v>
      </c>
      <c r="X11" s="32">
        <f t="shared" si="3"/>
        <v>0</v>
      </c>
      <c r="Y11" s="32">
        <f t="shared" si="4"/>
        <v>0</v>
      </c>
      <c r="AB11" s="40">
        <f t="shared" si="5"/>
        <v>0.702331734744501</v>
      </c>
      <c r="AC11" s="40">
        <f t="shared" si="6"/>
        <v>0.695077009777471</v>
      </c>
      <c r="AD11" s="40">
        <f t="shared" si="7"/>
        <v>0.709485996980649</v>
      </c>
      <c r="AE11" s="40"/>
      <c r="AF11" s="40"/>
      <c r="AH11" s="36"/>
      <c r="AI11" s="45"/>
      <c r="AJ11" s="36"/>
      <c r="AL11" s="32"/>
      <c r="AM11" s="32"/>
      <c r="AN11" s="32"/>
      <c r="AP11" s="40"/>
    </row>
    <row r="12" spans="3:42">
      <c r="C12" s="8">
        <f>Accuracy!F11</f>
        <v>-5</v>
      </c>
      <c r="D12" s="8">
        <f>Accuracy!G11</f>
        <v>33900</v>
      </c>
      <c r="E12" s="38">
        <f>Thermistor!T12</f>
        <v>33153.7681322216</v>
      </c>
      <c r="F12" s="38">
        <f>Thermistor!U12</f>
        <v>34659.5619061235</v>
      </c>
      <c r="G12" s="39"/>
      <c r="H12" s="39">
        <v>7</v>
      </c>
      <c r="I12" s="39">
        <f t="shared" si="0"/>
        <v>-30.6666666666667</v>
      </c>
      <c r="K12">
        <f>Accuracy!$D$12</f>
        <v>18000</v>
      </c>
      <c r="L12" s="32">
        <f>Accuracy!$D$12*(1-Accuracy!$D$14)*(1-Accuracy!$D$16*('Resistor Network'!I12-25))</f>
        <v>17820</v>
      </c>
      <c r="M12" s="32">
        <f>Accuracy!$D$12*(1-Accuracy!$D$14)*(1+Accuracy!$D$16*('Resistor Network'!I12-25))</f>
        <v>17820</v>
      </c>
      <c r="N12" s="32">
        <f>Accuracy!$D$12*(1+Accuracy!$D$14)*(1-Accuracy!$D$16*('Resistor Network'!I12-25))</f>
        <v>18180</v>
      </c>
      <c r="O12" s="32">
        <f>Accuracy!$D$12*(1+Accuracy!$D$14)*(1+Accuracy!$D$16*('Resistor Network'!I12-25))</f>
        <v>18180</v>
      </c>
      <c r="P12" s="32">
        <f t="shared" si="1"/>
        <v>17820</v>
      </c>
      <c r="Q12" s="32">
        <f t="shared" si="2"/>
        <v>18180</v>
      </c>
      <c r="S12">
        <f>Accuracy!$D$19</f>
        <v>0</v>
      </c>
      <c r="T12" s="32">
        <f>Accuracy!$D$19*(1-Accuracy!$D$21)*(1-Accuracy!$D$23*('Resistor Network'!I12-25))</f>
        <v>0</v>
      </c>
      <c r="U12" s="32">
        <f>Accuracy!$D$19*(1-Accuracy!$D$21)*(1+Accuracy!$D$23*('Resistor Network'!I12-25))</f>
        <v>0</v>
      </c>
      <c r="V12" s="32">
        <f>Accuracy!$D$19*(1+Accuracy!$D$21)*(1-Accuracy!$D$23*('Resistor Network'!I12-25))</f>
        <v>0</v>
      </c>
      <c r="W12" s="32">
        <f>Accuracy!$D$19*(1-Accuracy!$D$21)*(1+Accuracy!$D$23*('Resistor Network'!I12-25))</f>
        <v>0</v>
      </c>
      <c r="X12" s="32">
        <f t="shared" si="3"/>
        <v>0</v>
      </c>
      <c r="Y12" s="32">
        <f t="shared" si="4"/>
        <v>0</v>
      </c>
      <c r="AB12" s="40">
        <f t="shared" si="5"/>
        <v>0.653179190751445</v>
      </c>
      <c r="AC12" s="40">
        <f t="shared" si="6"/>
        <v>0.645847155557072</v>
      </c>
      <c r="AD12" s="40">
        <f t="shared" si="7"/>
        <v>0.660439238576786</v>
      </c>
      <c r="AE12" s="40"/>
      <c r="AF12" s="40"/>
      <c r="AH12" s="36"/>
      <c r="AI12" s="45"/>
      <c r="AJ12" s="36"/>
      <c r="AL12" s="32"/>
      <c r="AM12" s="32"/>
      <c r="AN12" s="32"/>
      <c r="AP12" s="40"/>
    </row>
    <row r="13" spans="3:42">
      <c r="C13" s="8">
        <f>Accuracy!F12</f>
        <v>0</v>
      </c>
      <c r="D13" s="8">
        <f>Accuracy!G12</f>
        <v>27280</v>
      </c>
      <c r="E13" s="38">
        <f>Thermistor!T13</f>
        <v>26737.5196604499</v>
      </c>
      <c r="F13" s="38">
        <f>Thermistor!U13</f>
        <v>27830.7034313548</v>
      </c>
      <c r="G13" s="39"/>
      <c r="H13" s="39">
        <v>8</v>
      </c>
      <c r="I13" s="39">
        <f t="shared" si="0"/>
        <v>-29.3333333333333</v>
      </c>
      <c r="K13">
        <f>Accuracy!$D$12</f>
        <v>18000</v>
      </c>
      <c r="L13" s="32">
        <f>Accuracy!$D$12*(1-Accuracy!$D$14)*(1-Accuracy!$D$16*('Resistor Network'!I13-25))</f>
        <v>17820</v>
      </c>
      <c r="M13" s="32">
        <f>Accuracy!$D$12*(1-Accuracy!$D$14)*(1+Accuracy!$D$16*('Resistor Network'!I13-25))</f>
        <v>17820</v>
      </c>
      <c r="N13" s="32">
        <f>Accuracy!$D$12*(1+Accuracy!$D$14)*(1-Accuracy!$D$16*('Resistor Network'!I13-25))</f>
        <v>18180</v>
      </c>
      <c r="O13" s="32">
        <f>Accuracy!$D$12*(1+Accuracy!$D$14)*(1+Accuracy!$D$16*('Resistor Network'!I13-25))</f>
        <v>18180</v>
      </c>
      <c r="P13" s="32">
        <f t="shared" si="1"/>
        <v>17820</v>
      </c>
      <c r="Q13" s="32">
        <f t="shared" si="2"/>
        <v>18180</v>
      </c>
      <c r="S13">
        <f>Accuracy!$D$19</f>
        <v>0</v>
      </c>
      <c r="T13" s="32">
        <f>Accuracy!$D$19*(1-Accuracy!$D$21)*(1-Accuracy!$D$23*('Resistor Network'!I13-25))</f>
        <v>0</v>
      </c>
      <c r="U13" s="32">
        <f>Accuracy!$D$19*(1-Accuracy!$D$21)*(1+Accuracy!$D$23*('Resistor Network'!I13-25))</f>
        <v>0</v>
      </c>
      <c r="V13" s="32">
        <f>Accuracy!$D$19*(1+Accuracy!$D$21)*(1-Accuracy!$D$23*('Resistor Network'!I13-25))</f>
        <v>0</v>
      </c>
      <c r="W13" s="32">
        <f>Accuracy!$D$19*(1-Accuracy!$D$21)*(1+Accuracy!$D$23*('Resistor Network'!I13-25))</f>
        <v>0</v>
      </c>
      <c r="X13" s="32">
        <f t="shared" si="3"/>
        <v>0</v>
      </c>
      <c r="Y13" s="32">
        <f t="shared" si="4"/>
        <v>0</v>
      </c>
      <c r="AB13" s="40">
        <f t="shared" si="5"/>
        <v>0.602473498233215</v>
      </c>
      <c r="AC13" s="40">
        <f t="shared" si="6"/>
        <v>0.595258150106459</v>
      </c>
      <c r="AD13" s="40">
        <f t="shared" si="7"/>
        <v>0.609644569293527</v>
      </c>
      <c r="AE13" s="40"/>
      <c r="AF13" s="40"/>
      <c r="AH13" s="36"/>
      <c r="AI13" s="45"/>
      <c r="AJ13" s="36"/>
      <c r="AL13" s="32"/>
      <c r="AM13" s="32"/>
      <c r="AN13" s="32"/>
      <c r="AP13" s="40"/>
    </row>
    <row r="14" spans="3:42">
      <c r="C14" s="8">
        <f>Accuracy!F13</f>
        <v>5</v>
      </c>
      <c r="D14" s="8">
        <f>Accuracy!G13</f>
        <v>22050</v>
      </c>
      <c r="E14" s="38">
        <f>Thermistor!T14</f>
        <v>21657.5687879722</v>
      </c>
      <c r="F14" s="38">
        <f>Thermistor!U14</f>
        <v>22447.2970400995</v>
      </c>
      <c r="G14" s="39"/>
      <c r="H14" s="39">
        <v>9</v>
      </c>
      <c r="I14" s="39">
        <f t="shared" si="0"/>
        <v>-28</v>
      </c>
      <c r="K14">
        <f>Accuracy!$D$12</f>
        <v>18000</v>
      </c>
      <c r="L14" s="32">
        <f>Accuracy!$D$12*(1-Accuracy!$D$14)*(1-Accuracy!$D$16*('Resistor Network'!I14-25))</f>
        <v>17820</v>
      </c>
      <c r="M14" s="32">
        <f>Accuracy!$D$12*(1-Accuracy!$D$14)*(1+Accuracy!$D$16*('Resistor Network'!I14-25))</f>
        <v>17820</v>
      </c>
      <c r="N14" s="32">
        <f>Accuracy!$D$12*(1+Accuracy!$D$14)*(1-Accuracy!$D$16*('Resistor Network'!I14-25))</f>
        <v>18180</v>
      </c>
      <c r="O14" s="32">
        <f>Accuracy!$D$12*(1+Accuracy!$D$14)*(1+Accuracy!$D$16*('Resistor Network'!I14-25))</f>
        <v>18180</v>
      </c>
      <c r="P14" s="32">
        <f t="shared" si="1"/>
        <v>17820</v>
      </c>
      <c r="Q14" s="32">
        <f t="shared" si="2"/>
        <v>18180</v>
      </c>
      <c r="S14">
        <f>Accuracy!$D$19</f>
        <v>0</v>
      </c>
      <c r="T14" s="32">
        <f>Accuracy!$D$19*(1-Accuracy!$D$21)*(1-Accuracy!$D$23*('Resistor Network'!I14-25))</f>
        <v>0</v>
      </c>
      <c r="U14" s="32">
        <f>Accuracy!$D$19*(1-Accuracy!$D$21)*(1+Accuracy!$D$23*('Resistor Network'!I14-25))</f>
        <v>0</v>
      </c>
      <c r="V14" s="32">
        <f>Accuracy!$D$19*(1+Accuracy!$D$21)*(1-Accuracy!$D$23*('Resistor Network'!I14-25))</f>
        <v>0</v>
      </c>
      <c r="W14" s="32">
        <f>Accuracy!$D$19*(1-Accuracy!$D$21)*(1+Accuracy!$D$23*('Resistor Network'!I14-25))</f>
        <v>0</v>
      </c>
      <c r="X14" s="32">
        <f t="shared" si="3"/>
        <v>0</v>
      </c>
      <c r="Y14" s="32">
        <f t="shared" si="4"/>
        <v>0</v>
      </c>
      <c r="AB14" s="40">
        <f t="shared" si="5"/>
        <v>0.550561797752809</v>
      </c>
      <c r="AC14" s="40">
        <f t="shared" si="6"/>
        <v>0.543646850118802</v>
      </c>
      <c r="AD14" s="40">
        <f t="shared" si="7"/>
        <v>0.557457259118876</v>
      </c>
      <c r="AE14" s="40"/>
      <c r="AF14" s="40"/>
      <c r="AH14" s="36"/>
      <c r="AI14" s="45"/>
      <c r="AJ14" s="36"/>
      <c r="AL14" s="32"/>
      <c r="AM14" s="32"/>
      <c r="AN14" s="32"/>
      <c r="AP14" s="40"/>
    </row>
    <row r="15" spans="3:42">
      <c r="C15" s="8">
        <f>Accuracy!F14</f>
        <v>10</v>
      </c>
      <c r="D15" s="8">
        <f>Accuracy!G14</f>
        <v>17960</v>
      </c>
      <c r="E15" s="38">
        <f>Thermistor!T15</f>
        <v>17676.5889750737</v>
      </c>
      <c r="F15" s="38">
        <f>Thermistor!U15</f>
        <v>18246.1301948475</v>
      </c>
      <c r="G15" s="39"/>
      <c r="H15" s="39">
        <v>10</v>
      </c>
      <c r="I15" s="39">
        <f t="shared" si="0"/>
        <v>-26.6666666666667</v>
      </c>
      <c r="K15">
        <f>Accuracy!$D$12</f>
        <v>18000</v>
      </c>
      <c r="L15" s="32">
        <f>Accuracy!$D$12*(1-Accuracy!$D$14)*(1-Accuracy!$D$16*('Resistor Network'!I15-25))</f>
        <v>17820</v>
      </c>
      <c r="M15" s="32">
        <f>Accuracy!$D$12*(1-Accuracy!$D$14)*(1+Accuracy!$D$16*('Resistor Network'!I15-25))</f>
        <v>17820</v>
      </c>
      <c r="N15" s="32">
        <f>Accuracy!$D$12*(1+Accuracy!$D$14)*(1-Accuracy!$D$16*('Resistor Network'!I15-25))</f>
        <v>18180</v>
      </c>
      <c r="O15" s="32">
        <f>Accuracy!$D$12*(1+Accuracy!$D$14)*(1+Accuracy!$D$16*('Resistor Network'!I15-25))</f>
        <v>18180</v>
      </c>
      <c r="P15" s="32">
        <f t="shared" si="1"/>
        <v>17820</v>
      </c>
      <c r="Q15" s="32">
        <f t="shared" si="2"/>
        <v>18180</v>
      </c>
      <c r="S15">
        <f>Accuracy!$D$19</f>
        <v>0</v>
      </c>
      <c r="T15" s="32">
        <f>Accuracy!$D$19*(1-Accuracy!$D$21)*(1-Accuracy!$D$23*('Resistor Network'!I15-25))</f>
        <v>0</v>
      </c>
      <c r="U15" s="32">
        <f>Accuracy!$D$19*(1-Accuracy!$D$21)*(1+Accuracy!$D$23*('Resistor Network'!I15-25))</f>
        <v>0</v>
      </c>
      <c r="V15" s="32">
        <f>Accuracy!$D$19*(1+Accuracy!$D$21)*(1-Accuracy!$D$23*('Resistor Network'!I15-25))</f>
        <v>0</v>
      </c>
      <c r="W15" s="32">
        <f>Accuracy!$D$19*(1-Accuracy!$D$21)*(1+Accuracy!$D$23*('Resistor Network'!I15-25))</f>
        <v>0</v>
      </c>
      <c r="X15" s="32">
        <f t="shared" si="3"/>
        <v>0</v>
      </c>
      <c r="Y15" s="32">
        <f t="shared" si="4"/>
        <v>0</v>
      </c>
      <c r="AB15" s="40">
        <f t="shared" si="5"/>
        <v>0.49944382647386</v>
      </c>
      <c r="AC15" s="40">
        <f t="shared" si="6"/>
        <v>0.492980215919642</v>
      </c>
      <c r="AD15" s="40">
        <f t="shared" si="7"/>
        <v>0.505907622921357</v>
      </c>
      <c r="AE15" s="40"/>
      <c r="AF15" s="40"/>
      <c r="AH15" s="36"/>
      <c r="AI15" s="45"/>
      <c r="AJ15" s="36"/>
      <c r="AL15" s="32"/>
      <c r="AM15" s="32"/>
      <c r="AN15" s="32"/>
      <c r="AP15" s="40"/>
    </row>
    <row r="16" spans="3:42">
      <c r="C16" s="8">
        <f>Accuracy!F15</f>
        <v>15</v>
      </c>
      <c r="D16" s="8">
        <f>Accuracy!G15</f>
        <v>14690</v>
      </c>
      <c r="E16" s="38">
        <f>Thermistor!T16</f>
        <v>14487.2772809485</v>
      </c>
      <c r="F16" s="38">
        <f>Thermistor!U16</f>
        <v>14894.0698935717</v>
      </c>
      <c r="G16" s="39"/>
      <c r="H16" s="39">
        <v>11</v>
      </c>
      <c r="I16" s="39">
        <f t="shared" si="0"/>
        <v>-25.3333333333333</v>
      </c>
      <c r="K16">
        <f>Accuracy!$D$12</f>
        <v>18000</v>
      </c>
      <c r="L16" s="32">
        <f>Accuracy!$D$12*(1-Accuracy!$D$14)*(1-Accuracy!$D$16*('Resistor Network'!I16-25))</f>
        <v>17820</v>
      </c>
      <c r="M16" s="32">
        <f>Accuracy!$D$12*(1-Accuracy!$D$14)*(1+Accuracy!$D$16*('Resistor Network'!I16-25))</f>
        <v>17820</v>
      </c>
      <c r="N16" s="32">
        <f>Accuracy!$D$12*(1+Accuracy!$D$14)*(1-Accuracy!$D$16*('Resistor Network'!I16-25))</f>
        <v>18180</v>
      </c>
      <c r="O16" s="32">
        <f>Accuracy!$D$12*(1+Accuracy!$D$14)*(1+Accuracy!$D$16*('Resistor Network'!I16-25))</f>
        <v>18180</v>
      </c>
      <c r="P16" s="32">
        <f t="shared" si="1"/>
        <v>17820</v>
      </c>
      <c r="Q16" s="32">
        <f t="shared" si="2"/>
        <v>18180</v>
      </c>
      <c r="S16">
        <f>Accuracy!$D$19</f>
        <v>0</v>
      </c>
      <c r="T16" s="32">
        <f>Accuracy!$D$19*(1-Accuracy!$D$21)*(1-Accuracy!$D$23*('Resistor Network'!I16-25))</f>
        <v>0</v>
      </c>
      <c r="U16" s="32">
        <f>Accuracy!$D$19*(1-Accuracy!$D$21)*(1+Accuracy!$D$23*('Resistor Network'!I16-25))</f>
        <v>0</v>
      </c>
      <c r="V16" s="32">
        <f>Accuracy!$D$19*(1+Accuracy!$D$21)*(1-Accuracy!$D$23*('Resistor Network'!I16-25))</f>
        <v>0</v>
      </c>
      <c r="W16" s="32">
        <f>Accuracy!$D$19*(1-Accuracy!$D$21)*(1+Accuracy!$D$23*('Resistor Network'!I16-25))</f>
        <v>0</v>
      </c>
      <c r="X16" s="32">
        <f t="shared" si="3"/>
        <v>0</v>
      </c>
      <c r="Y16" s="32">
        <f t="shared" si="4"/>
        <v>0</v>
      </c>
      <c r="AB16" s="40">
        <f t="shared" si="5"/>
        <v>0.44937289691037</v>
      </c>
      <c r="AC16" s="40">
        <f t="shared" si="6"/>
        <v>0.44347979038331</v>
      </c>
      <c r="AD16" s="40">
        <f t="shared" si="7"/>
        <v>0.45528024920245</v>
      </c>
      <c r="AE16" s="40"/>
      <c r="AF16" s="40"/>
      <c r="AH16" s="36"/>
      <c r="AI16" s="45"/>
      <c r="AJ16" s="36"/>
      <c r="AL16" s="32"/>
      <c r="AM16" s="32"/>
      <c r="AN16" s="32"/>
      <c r="AP16" s="40"/>
    </row>
    <row r="17" spans="3:42">
      <c r="C17" s="8">
        <f>Accuracy!F16</f>
        <v>20</v>
      </c>
      <c r="D17" s="8">
        <f>Accuracy!G16</f>
        <v>12090</v>
      </c>
      <c r="E17" s="38">
        <f>Thermistor!T17</f>
        <v>11946.4049612926</v>
      </c>
      <c r="F17" s="38">
        <f>Thermistor!U17</f>
        <v>12234.0975099664</v>
      </c>
      <c r="G17" s="39"/>
      <c r="H17" s="39">
        <v>12</v>
      </c>
      <c r="I17" s="39">
        <f t="shared" si="0"/>
        <v>-24</v>
      </c>
      <c r="K17">
        <f>Accuracy!$D$12</f>
        <v>18000</v>
      </c>
      <c r="L17" s="32">
        <f>Accuracy!$D$12*(1-Accuracy!$D$14)*(1-Accuracy!$D$16*('Resistor Network'!I17-25))</f>
        <v>17820</v>
      </c>
      <c r="M17" s="32">
        <f>Accuracy!$D$12*(1-Accuracy!$D$14)*(1+Accuracy!$D$16*('Resistor Network'!I17-25))</f>
        <v>17820</v>
      </c>
      <c r="N17" s="32">
        <f>Accuracy!$D$12*(1+Accuracy!$D$14)*(1-Accuracy!$D$16*('Resistor Network'!I17-25))</f>
        <v>18180</v>
      </c>
      <c r="O17" s="32">
        <f>Accuracy!$D$12*(1+Accuracy!$D$14)*(1+Accuracy!$D$16*('Resistor Network'!I17-25))</f>
        <v>18180</v>
      </c>
      <c r="P17" s="32">
        <f t="shared" si="1"/>
        <v>17820</v>
      </c>
      <c r="Q17" s="32">
        <f t="shared" si="2"/>
        <v>18180</v>
      </c>
      <c r="S17">
        <f>Accuracy!$D$19</f>
        <v>0</v>
      </c>
      <c r="T17" s="32">
        <f>Accuracy!$D$19*(1-Accuracy!$D$21)*(1-Accuracy!$D$23*('Resistor Network'!I17-25))</f>
        <v>0</v>
      </c>
      <c r="U17" s="32">
        <f>Accuracy!$D$19*(1-Accuracy!$D$21)*(1+Accuracy!$D$23*('Resistor Network'!I17-25))</f>
        <v>0</v>
      </c>
      <c r="V17" s="32">
        <f>Accuracy!$D$19*(1+Accuracy!$D$21)*(1-Accuracy!$D$23*('Resistor Network'!I17-25))</f>
        <v>0</v>
      </c>
      <c r="W17" s="32">
        <f>Accuracy!$D$19*(1-Accuracy!$D$21)*(1+Accuracy!$D$23*('Resistor Network'!I17-25))</f>
        <v>0</v>
      </c>
      <c r="X17" s="32">
        <f t="shared" si="3"/>
        <v>0</v>
      </c>
      <c r="Y17" s="32">
        <f t="shared" si="4"/>
        <v>0</v>
      </c>
      <c r="AB17" s="40">
        <f t="shared" si="5"/>
        <v>0.401794616151545</v>
      </c>
      <c r="AC17" s="40">
        <f t="shared" si="6"/>
        <v>0.39654266669527</v>
      </c>
      <c r="AD17" s="40">
        <f t="shared" si="7"/>
        <v>0.407069202657288</v>
      </c>
      <c r="AE17" s="40"/>
      <c r="AF17" s="40"/>
      <c r="AH17" s="36"/>
      <c r="AI17" s="45"/>
      <c r="AJ17" s="36"/>
      <c r="AL17" s="32"/>
      <c r="AM17" s="32"/>
      <c r="AN17" s="32"/>
      <c r="AP17" s="40"/>
    </row>
    <row r="18" spans="3:42">
      <c r="C18" s="8">
        <f>Accuracy!F17</f>
        <v>25</v>
      </c>
      <c r="D18" s="8">
        <f>Accuracy!G17</f>
        <v>10000</v>
      </c>
      <c r="E18" s="38">
        <f>Thermistor!T18</f>
        <v>9900</v>
      </c>
      <c r="F18" s="38">
        <f>Thermistor!U18</f>
        <v>10100</v>
      </c>
      <c r="G18" s="39"/>
      <c r="H18" s="39">
        <v>13</v>
      </c>
      <c r="I18" s="39">
        <f t="shared" si="0"/>
        <v>-22.6666666666667</v>
      </c>
      <c r="K18">
        <f>Accuracy!$D$12</f>
        <v>18000</v>
      </c>
      <c r="L18" s="32">
        <f>Accuracy!$D$12*(1-Accuracy!$D$14)*(1-Accuracy!$D$16*('Resistor Network'!I18-25))</f>
        <v>17820</v>
      </c>
      <c r="M18" s="32">
        <f>Accuracy!$D$12*(1-Accuracy!$D$14)*(1+Accuracy!$D$16*('Resistor Network'!I18-25))</f>
        <v>17820</v>
      </c>
      <c r="N18" s="32">
        <f>Accuracy!$D$12*(1+Accuracy!$D$14)*(1-Accuracy!$D$16*('Resistor Network'!I18-25))</f>
        <v>18180</v>
      </c>
      <c r="O18" s="32">
        <f>Accuracy!$D$12*(1+Accuracy!$D$14)*(1+Accuracy!$D$16*('Resistor Network'!I18-25))</f>
        <v>18180</v>
      </c>
      <c r="P18" s="32">
        <f t="shared" si="1"/>
        <v>17820</v>
      </c>
      <c r="Q18" s="32">
        <f t="shared" si="2"/>
        <v>18180</v>
      </c>
      <c r="S18">
        <f>Accuracy!$D$19</f>
        <v>0</v>
      </c>
      <c r="T18" s="32">
        <f>Accuracy!$D$19*(1-Accuracy!$D$21)*(1-Accuracy!$D$23*('Resistor Network'!I18-25))</f>
        <v>0</v>
      </c>
      <c r="U18" s="32">
        <f>Accuracy!$D$19*(1-Accuracy!$D$21)*(1+Accuracy!$D$23*('Resistor Network'!I18-25))</f>
        <v>0</v>
      </c>
      <c r="V18" s="32">
        <f>Accuracy!$D$19*(1+Accuracy!$D$21)*(1-Accuracy!$D$23*('Resistor Network'!I18-25))</f>
        <v>0</v>
      </c>
      <c r="W18" s="32">
        <f>Accuracy!$D$19*(1-Accuracy!$D$21)*(1+Accuracy!$D$23*('Resistor Network'!I18-25))</f>
        <v>0</v>
      </c>
      <c r="X18" s="32">
        <f t="shared" si="3"/>
        <v>0</v>
      </c>
      <c r="Y18" s="32">
        <f t="shared" si="4"/>
        <v>0</v>
      </c>
      <c r="AB18" s="40">
        <f t="shared" si="5"/>
        <v>0.357142857142857</v>
      </c>
      <c r="AC18" s="40">
        <f t="shared" si="6"/>
        <v>0.352564102564103</v>
      </c>
      <c r="AD18" s="40">
        <f t="shared" si="7"/>
        <v>0.361747851002865</v>
      </c>
      <c r="AE18" s="40"/>
      <c r="AF18" s="40"/>
      <c r="AH18" s="36"/>
      <c r="AI18" s="45"/>
      <c r="AJ18" s="36"/>
      <c r="AL18" s="32"/>
      <c r="AM18" s="32"/>
      <c r="AN18" s="32"/>
      <c r="AP18" s="40"/>
    </row>
    <row r="19" spans="3:42">
      <c r="C19" s="8">
        <f>Accuracy!F18</f>
        <v>30</v>
      </c>
      <c r="D19" s="8">
        <f>Accuracy!G18</f>
        <v>8313</v>
      </c>
      <c r="E19" s="38">
        <f>Thermistor!T19</f>
        <v>8214.67815757046</v>
      </c>
      <c r="F19" s="38">
        <f>Thermistor!U19</f>
        <v>8411.6574109991</v>
      </c>
      <c r="G19" s="39"/>
      <c r="H19" s="39">
        <v>14</v>
      </c>
      <c r="I19" s="39">
        <f t="shared" si="0"/>
        <v>-21.3333333333333</v>
      </c>
      <c r="K19">
        <f>Accuracy!$D$12</f>
        <v>18000</v>
      </c>
      <c r="L19" s="32">
        <f>Accuracy!$D$12*(1-Accuracy!$D$14)*(1-Accuracy!$D$16*('Resistor Network'!I19-25))</f>
        <v>17820</v>
      </c>
      <c r="M19" s="32">
        <f>Accuracy!$D$12*(1-Accuracy!$D$14)*(1+Accuracy!$D$16*('Resistor Network'!I19-25))</f>
        <v>17820</v>
      </c>
      <c r="N19" s="32">
        <f>Accuracy!$D$12*(1+Accuracy!$D$14)*(1-Accuracy!$D$16*('Resistor Network'!I19-25))</f>
        <v>18180</v>
      </c>
      <c r="O19" s="32">
        <f>Accuracy!$D$12*(1+Accuracy!$D$14)*(1+Accuracy!$D$16*('Resistor Network'!I19-25))</f>
        <v>18180</v>
      </c>
      <c r="P19" s="32">
        <f t="shared" si="1"/>
        <v>17820</v>
      </c>
      <c r="Q19" s="32">
        <f t="shared" si="2"/>
        <v>18180</v>
      </c>
      <c r="S19">
        <f>Accuracy!$D$19</f>
        <v>0</v>
      </c>
      <c r="T19" s="32">
        <f>Accuracy!$D$19*(1-Accuracy!$D$21)*(1-Accuracy!$D$23*('Resistor Network'!I19-25))</f>
        <v>0</v>
      </c>
      <c r="U19" s="32">
        <f>Accuracy!$D$19*(1-Accuracy!$D$21)*(1+Accuracy!$D$23*('Resistor Network'!I19-25))</f>
        <v>0</v>
      </c>
      <c r="V19" s="32">
        <f>Accuracy!$D$19*(1+Accuracy!$D$21)*(1-Accuracy!$D$23*('Resistor Network'!I19-25))</f>
        <v>0</v>
      </c>
      <c r="W19" s="32">
        <f>Accuracy!$D$19*(1-Accuracy!$D$21)*(1+Accuracy!$D$23*('Resistor Network'!I19-25))</f>
        <v>0</v>
      </c>
      <c r="X19" s="32">
        <f t="shared" si="3"/>
        <v>0</v>
      </c>
      <c r="Y19" s="32">
        <f t="shared" si="4"/>
        <v>0</v>
      </c>
      <c r="AB19" s="40">
        <f t="shared" si="5"/>
        <v>0.315927488313761</v>
      </c>
      <c r="AC19" s="40">
        <f t="shared" si="6"/>
        <v>0.311224789653832</v>
      </c>
      <c r="AD19" s="40">
        <f t="shared" si="7"/>
        <v>0.320668163631629</v>
      </c>
      <c r="AE19" s="40"/>
      <c r="AF19" s="40"/>
      <c r="AH19" s="36"/>
      <c r="AI19" s="45"/>
      <c r="AJ19" s="36"/>
      <c r="AL19" s="32"/>
      <c r="AM19" s="32"/>
      <c r="AN19" s="32"/>
      <c r="AP19" s="40"/>
    </row>
    <row r="20" spans="3:42">
      <c r="C20" s="8">
        <f>Accuracy!F19</f>
        <v>35</v>
      </c>
      <c r="D20" s="8">
        <f>Accuracy!G19</f>
        <v>6940</v>
      </c>
      <c r="E20" s="38">
        <f>Thermistor!T20</f>
        <v>6845.54862642063</v>
      </c>
      <c r="F20" s="38">
        <f>Thermistor!U20</f>
        <v>7035.05098979642</v>
      </c>
      <c r="G20" s="39"/>
      <c r="H20" s="39">
        <v>15</v>
      </c>
      <c r="I20" s="39">
        <f t="shared" si="0"/>
        <v>-20</v>
      </c>
      <c r="K20">
        <f>Accuracy!$D$12</f>
        <v>18000</v>
      </c>
      <c r="L20" s="32">
        <f>Accuracy!$D$12*(1-Accuracy!$D$14)*(1-Accuracy!$D$16*('Resistor Network'!I20-25))</f>
        <v>17820</v>
      </c>
      <c r="M20" s="32">
        <f>Accuracy!$D$12*(1-Accuracy!$D$14)*(1+Accuracy!$D$16*('Resistor Network'!I20-25))</f>
        <v>17820</v>
      </c>
      <c r="N20" s="32">
        <f>Accuracy!$D$12*(1+Accuracy!$D$14)*(1-Accuracy!$D$16*('Resistor Network'!I20-25))</f>
        <v>18180</v>
      </c>
      <c r="O20" s="32">
        <f>Accuracy!$D$12*(1+Accuracy!$D$14)*(1+Accuracy!$D$16*('Resistor Network'!I20-25))</f>
        <v>18180</v>
      </c>
      <c r="P20" s="32">
        <f t="shared" si="1"/>
        <v>17820</v>
      </c>
      <c r="Q20" s="32">
        <f t="shared" si="2"/>
        <v>18180</v>
      </c>
      <c r="S20">
        <f>Accuracy!$D$19</f>
        <v>0</v>
      </c>
      <c r="T20" s="32">
        <f>Accuracy!$D$19*(1-Accuracy!$D$21)*(1-Accuracy!$D$23*('Resistor Network'!I20-25))</f>
        <v>0</v>
      </c>
      <c r="U20" s="32">
        <f>Accuracy!$D$19*(1-Accuracy!$D$21)*(1+Accuracy!$D$23*('Resistor Network'!I20-25))</f>
        <v>0</v>
      </c>
      <c r="V20" s="32">
        <f>Accuracy!$D$19*(1+Accuracy!$D$21)*(1-Accuracy!$D$23*('Resistor Network'!I20-25))</f>
        <v>0</v>
      </c>
      <c r="W20" s="32">
        <f>Accuracy!$D$19*(1-Accuracy!$D$21)*(1+Accuracy!$D$23*('Resistor Network'!I20-25))</f>
        <v>0</v>
      </c>
      <c r="X20" s="32">
        <f t="shared" si="3"/>
        <v>0</v>
      </c>
      <c r="Y20" s="32">
        <f t="shared" si="4"/>
        <v>0</v>
      </c>
      <c r="AB20" s="40">
        <f t="shared" si="5"/>
        <v>0.278267842822775</v>
      </c>
      <c r="AC20" s="40">
        <f t="shared" si="6"/>
        <v>0.273542399753565</v>
      </c>
      <c r="AD20" s="40">
        <f t="shared" si="7"/>
        <v>0.283043112351066</v>
      </c>
      <c r="AE20" s="40"/>
      <c r="AF20" s="40"/>
      <c r="AH20" s="36"/>
      <c r="AI20" s="45"/>
      <c r="AJ20" s="36"/>
      <c r="AL20" s="32"/>
      <c r="AM20" s="32"/>
      <c r="AN20" s="32"/>
      <c r="AP20" s="40"/>
    </row>
    <row r="21" spans="3:42">
      <c r="C21" s="8">
        <f>Accuracy!F20</f>
        <v>40</v>
      </c>
      <c r="D21" s="8">
        <f>Accuracy!G20</f>
        <v>5827</v>
      </c>
      <c r="E21" s="38">
        <f>Thermistor!T21</f>
        <v>5737.65806383286</v>
      </c>
      <c r="F21" s="38">
        <f>Thermistor!U21</f>
        <v>5917.14131957533</v>
      </c>
      <c r="G21" s="39"/>
      <c r="H21" s="39">
        <v>16</v>
      </c>
      <c r="I21" s="39">
        <f t="shared" si="0"/>
        <v>-18.6666666666667</v>
      </c>
      <c r="K21">
        <f>Accuracy!$D$12</f>
        <v>18000</v>
      </c>
      <c r="L21" s="32">
        <f>Accuracy!$D$12*(1-Accuracy!$D$14)*(1-Accuracy!$D$16*('Resistor Network'!I21-25))</f>
        <v>17820</v>
      </c>
      <c r="M21" s="32">
        <f>Accuracy!$D$12*(1-Accuracy!$D$14)*(1+Accuracy!$D$16*('Resistor Network'!I21-25))</f>
        <v>17820</v>
      </c>
      <c r="N21" s="32">
        <f>Accuracy!$D$12*(1+Accuracy!$D$14)*(1-Accuracy!$D$16*('Resistor Network'!I21-25))</f>
        <v>18180</v>
      </c>
      <c r="O21" s="32">
        <f>Accuracy!$D$12*(1+Accuracy!$D$14)*(1+Accuracy!$D$16*('Resistor Network'!I21-25))</f>
        <v>18180</v>
      </c>
      <c r="P21" s="32">
        <f t="shared" si="1"/>
        <v>17820</v>
      </c>
      <c r="Q21" s="32">
        <f t="shared" si="2"/>
        <v>18180</v>
      </c>
      <c r="S21">
        <f>Accuracy!$D$19</f>
        <v>0</v>
      </c>
      <c r="T21" s="32">
        <f>Accuracy!$D$19*(1-Accuracy!$D$21)*(1-Accuracy!$D$23*('Resistor Network'!I21-25))</f>
        <v>0</v>
      </c>
      <c r="U21" s="32">
        <f>Accuracy!$D$19*(1-Accuracy!$D$21)*(1+Accuracy!$D$23*('Resistor Network'!I21-25))</f>
        <v>0</v>
      </c>
      <c r="V21" s="32">
        <f>Accuracy!$D$19*(1+Accuracy!$D$21)*(1-Accuracy!$D$23*('Resistor Network'!I21-25))</f>
        <v>0</v>
      </c>
      <c r="W21" s="32">
        <f>Accuracy!$D$19*(1-Accuracy!$D$21)*(1+Accuracy!$D$23*('Resistor Network'!I21-25))</f>
        <v>0</v>
      </c>
      <c r="X21" s="32">
        <f t="shared" si="3"/>
        <v>0</v>
      </c>
      <c r="Y21" s="32">
        <f t="shared" si="4"/>
        <v>0</v>
      </c>
      <c r="AB21" s="40">
        <f t="shared" si="5"/>
        <v>0.244554496999203</v>
      </c>
      <c r="AC21" s="40">
        <f t="shared" si="6"/>
        <v>0.239892135280129</v>
      </c>
      <c r="AD21" s="40">
        <f t="shared" si="7"/>
        <v>0.249277755897912</v>
      </c>
      <c r="AE21" s="40"/>
      <c r="AF21" s="40"/>
      <c r="AH21" s="36"/>
      <c r="AI21" s="45"/>
      <c r="AJ21" s="36"/>
      <c r="AL21" s="32"/>
      <c r="AM21" s="32"/>
      <c r="AN21" s="32"/>
      <c r="AP21" s="40"/>
    </row>
    <row r="22" spans="3:42">
      <c r="C22" s="8">
        <f>Accuracy!F21</f>
        <v>45</v>
      </c>
      <c r="D22" s="8">
        <f>Accuracy!G21</f>
        <v>4911</v>
      </c>
      <c r="E22" s="38">
        <f>Thermistor!T22</f>
        <v>4827.43937095716</v>
      </c>
      <c r="F22" s="38">
        <f>Thermistor!U22</f>
        <v>4995.50742221305</v>
      </c>
      <c r="G22" s="39"/>
      <c r="H22" s="39">
        <v>17</v>
      </c>
      <c r="I22" s="39">
        <f t="shared" si="0"/>
        <v>-17.3333333333333</v>
      </c>
      <c r="K22">
        <f>Accuracy!$D$12</f>
        <v>18000</v>
      </c>
      <c r="L22" s="32">
        <f>Accuracy!$D$12*(1-Accuracy!$D$14)*(1-Accuracy!$D$16*('Resistor Network'!I22-25))</f>
        <v>17820</v>
      </c>
      <c r="M22" s="32">
        <f>Accuracy!$D$12*(1-Accuracy!$D$14)*(1+Accuracy!$D$16*('Resistor Network'!I22-25))</f>
        <v>17820</v>
      </c>
      <c r="N22" s="32">
        <f>Accuracy!$D$12*(1+Accuracy!$D$14)*(1-Accuracy!$D$16*('Resistor Network'!I22-25))</f>
        <v>18180</v>
      </c>
      <c r="O22" s="32">
        <f>Accuracy!$D$12*(1+Accuracy!$D$14)*(1+Accuracy!$D$16*('Resistor Network'!I22-25))</f>
        <v>18180</v>
      </c>
      <c r="P22" s="32">
        <f t="shared" si="1"/>
        <v>17820</v>
      </c>
      <c r="Q22" s="32">
        <f t="shared" si="2"/>
        <v>18180</v>
      </c>
      <c r="S22">
        <f>Accuracy!$D$19</f>
        <v>0</v>
      </c>
      <c r="T22" s="32">
        <f>Accuracy!$D$19*(1-Accuracy!$D$21)*(1-Accuracy!$D$23*('Resistor Network'!I22-25))</f>
        <v>0</v>
      </c>
      <c r="U22" s="32">
        <f>Accuracy!$D$19*(1-Accuracy!$D$21)*(1+Accuracy!$D$23*('Resistor Network'!I22-25))</f>
        <v>0</v>
      </c>
      <c r="V22" s="32">
        <f>Accuracy!$D$19*(1+Accuracy!$D$21)*(1-Accuracy!$D$23*('Resistor Network'!I22-25))</f>
        <v>0</v>
      </c>
      <c r="W22" s="32">
        <f>Accuracy!$D$19*(1-Accuracy!$D$21)*(1+Accuracy!$D$23*('Resistor Network'!I22-25))</f>
        <v>0</v>
      </c>
      <c r="X22" s="32">
        <f t="shared" si="3"/>
        <v>0</v>
      </c>
      <c r="Y22" s="32">
        <f t="shared" si="4"/>
        <v>0</v>
      </c>
      <c r="AB22" s="40">
        <f t="shared" si="5"/>
        <v>0.214351185020296</v>
      </c>
      <c r="AC22" s="40">
        <f t="shared" si="6"/>
        <v>0.209820801573032</v>
      </c>
      <c r="AD22" s="40">
        <f t="shared" si="7"/>
        <v>0.218952282312575</v>
      </c>
      <c r="AE22" s="40"/>
      <c r="AF22" s="40"/>
      <c r="AH22" s="36"/>
      <c r="AI22" s="45"/>
      <c r="AJ22" s="36"/>
      <c r="AL22" s="32"/>
      <c r="AM22" s="32"/>
      <c r="AN22" s="32"/>
      <c r="AP22" s="40"/>
    </row>
    <row r="23" spans="3:42">
      <c r="C23" s="8">
        <f>Accuracy!F22</f>
        <v>50</v>
      </c>
      <c r="D23" s="8">
        <f>Accuracy!G22</f>
        <v>4160</v>
      </c>
      <c r="E23" s="38">
        <f>Thermistor!T23</f>
        <v>4082.43669059133</v>
      </c>
      <c r="F23" s="38">
        <f>Thermistor!U23</f>
        <v>4238.61305182753</v>
      </c>
      <c r="G23" s="39"/>
      <c r="H23" s="39">
        <v>18</v>
      </c>
      <c r="I23" s="39">
        <f t="shared" si="0"/>
        <v>-16</v>
      </c>
      <c r="K23">
        <f>Accuracy!$D$12</f>
        <v>18000</v>
      </c>
      <c r="L23" s="32">
        <f>Accuracy!$D$12*(1-Accuracy!$D$14)*(1-Accuracy!$D$16*('Resistor Network'!I23-25))</f>
        <v>17820</v>
      </c>
      <c r="M23" s="32">
        <f>Accuracy!$D$12*(1-Accuracy!$D$14)*(1+Accuracy!$D$16*('Resistor Network'!I23-25))</f>
        <v>17820</v>
      </c>
      <c r="N23" s="32">
        <f>Accuracy!$D$12*(1+Accuracy!$D$14)*(1-Accuracy!$D$16*('Resistor Network'!I23-25))</f>
        <v>18180</v>
      </c>
      <c r="O23" s="32">
        <f>Accuracy!$D$12*(1+Accuracy!$D$14)*(1+Accuracy!$D$16*('Resistor Network'!I23-25))</f>
        <v>18180</v>
      </c>
      <c r="P23" s="32">
        <f t="shared" si="1"/>
        <v>17820</v>
      </c>
      <c r="Q23" s="32">
        <f t="shared" si="2"/>
        <v>18180</v>
      </c>
      <c r="S23">
        <f>Accuracy!$D$19</f>
        <v>0</v>
      </c>
      <c r="T23" s="32">
        <f>Accuracy!$D$19*(1-Accuracy!$D$21)*(1-Accuracy!$D$23*('Resistor Network'!I23-25))</f>
        <v>0</v>
      </c>
      <c r="U23" s="32">
        <f>Accuracy!$D$19*(1-Accuracy!$D$21)*(1+Accuracy!$D$23*('Resistor Network'!I23-25))</f>
        <v>0</v>
      </c>
      <c r="V23" s="32">
        <f>Accuracy!$D$19*(1+Accuracy!$D$21)*(1-Accuracy!$D$23*('Resistor Network'!I23-25))</f>
        <v>0</v>
      </c>
      <c r="W23" s="32">
        <f>Accuracy!$D$19*(1-Accuracy!$D$21)*(1+Accuracy!$D$23*('Resistor Network'!I23-25))</f>
        <v>0</v>
      </c>
      <c r="X23" s="32">
        <f t="shared" si="3"/>
        <v>0</v>
      </c>
      <c r="Y23" s="32">
        <f t="shared" si="4"/>
        <v>0</v>
      </c>
      <c r="AB23" s="40">
        <f t="shared" si="5"/>
        <v>0.187725631768953</v>
      </c>
      <c r="AC23" s="40">
        <f t="shared" si="6"/>
        <v>0.183377801241167</v>
      </c>
      <c r="AD23" s="40">
        <f t="shared" si="7"/>
        <v>0.192152291799523</v>
      </c>
      <c r="AE23" s="40"/>
      <c r="AF23" s="40"/>
      <c r="AH23" s="36"/>
      <c r="AI23" s="45"/>
      <c r="AJ23" s="36"/>
      <c r="AL23" s="32"/>
      <c r="AM23" s="32"/>
      <c r="AN23" s="32"/>
      <c r="AP23" s="40"/>
    </row>
    <row r="24" spans="3:42">
      <c r="C24" s="8">
        <f>Accuracy!F23</f>
        <v>55</v>
      </c>
      <c r="D24" s="8">
        <f>Accuracy!G23</f>
        <v>3536</v>
      </c>
      <c r="E24" s="38">
        <f>Thermistor!T24</f>
        <v>3464.43624462099</v>
      </c>
      <c r="F24" s="38">
        <f>Thermistor!U24</f>
        <v>3608.68112086379</v>
      </c>
      <c r="G24" s="39"/>
      <c r="H24" s="39">
        <v>19</v>
      </c>
      <c r="I24" s="39">
        <f t="shared" si="0"/>
        <v>-14.6666666666667</v>
      </c>
      <c r="K24">
        <f>Accuracy!$D$12</f>
        <v>18000</v>
      </c>
      <c r="L24" s="32">
        <f>Accuracy!$D$12*(1-Accuracy!$D$14)*(1-Accuracy!$D$16*('Resistor Network'!I24-25))</f>
        <v>17820</v>
      </c>
      <c r="M24" s="32">
        <f>Accuracy!$D$12*(1-Accuracy!$D$14)*(1+Accuracy!$D$16*('Resistor Network'!I24-25))</f>
        <v>17820</v>
      </c>
      <c r="N24" s="32">
        <f>Accuracy!$D$12*(1+Accuracy!$D$14)*(1-Accuracy!$D$16*('Resistor Network'!I24-25))</f>
        <v>18180</v>
      </c>
      <c r="O24" s="32">
        <f>Accuracy!$D$12*(1+Accuracy!$D$14)*(1+Accuracy!$D$16*('Resistor Network'!I24-25))</f>
        <v>18180</v>
      </c>
      <c r="P24" s="32">
        <f t="shared" si="1"/>
        <v>17820</v>
      </c>
      <c r="Q24" s="32">
        <f t="shared" si="2"/>
        <v>18180</v>
      </c>
      <c r="S24">
        <f>Accuracy!$D$19</f>
        <v>0</v>
      </c>
      <c r="T24" s="32">
        <f>Accuracy!$D$19*(1-Accuracy!$D$21)*(1-Accuracy!$D$23*('Resistor Network'!I24-25))</f>
        <v>0</v>
      </c>
      <c r="U24" s="32">
        <f>Accuracy!$D$19*(1-Accuracy!$D$21)*(1+Accuracy!$D$23*('Resistor Network'!I24-25))</f>
        <v>0</v>
      </c>
      <c r="V24" s="32">
        <f>Accuracy!$D$19*(1+Accuracy!$D$21)*(1-Accuracy!$D$23*('Resistor Network'!I24-25))</f>
        <v>0</v>
      </c>
      <c r="W24" s="32">
        <f>Accuracy!$D$19*(1-Accuracy!$D$21)*(1+Accuracy!$D$23*('Resistor Network'!I24-25))</f>
        <v>0</v>
      </c>
      <c r="X24" s="32">
        <f t="shared" si="3"/>
        <v>0</v>
      </c>
      <c r="Y24" s="32">
        <f t="shared" si="4"/>
        <v>0</v>
      </c>
      <c r="AB24" s="40">
        <f t="shared" si="5"/>
        <v>0.164190193164933</v>
      </c>
      <c r="AC24" s="40">
        <f t="shared" si="6"/>
        <v>0.160061283438692</v>
      </c>
      <c r="AD24" s="40">
        <f t="shared" si="7"/>
        <v>0.168404256916691</v>
      </c>
      <c r="AE24" s="40"/>
      <c r="AF24" s="40"/>
      <c r="AH24" s="36"/>
      <c r="AI24" s="45"/>
      <c r="AJ24" s="36"/>
      <c r="AL24" s="32"/>
      <c r="AM24" s="32"/>
      <c r="AN24" s="32"/>
      <c r="AP24" s="40"/>
    </row>
    <row r="25" spans="3:42">
      <c r="C25" s="8">
        <f>Accuracy!F24</f>
        <v>60</v>
      </c>
      <c r="D25" s="8">
        <f>Accuracy!G24</f>
        <v>3020</v>
      </c>
      <c r="E25" s="38">
        <f>Thermistor!T25</f>
        <v>2954.21573497622</v>
      </c>
      <c r="F25" s="38">
        <f>Thermistor!U25</f>
        <v>3086.9404194252</v>
      </c>
      <c r="G25" s="39"/>
      <c r="H25" s="39">
        <v>20</v>
      </c>
      <c r="I25" s="39">
        <f t="shared" si="0"/>
        <v>-13.3333333333333</v>
      </c>
      <c r="K25">
        <f>Accuracy!$D$12</f>
        <v>18000</v>
      </c>
      <c r="L25" s="32">
        <f>Accuracy!$D$12*(1-Accuracy!$D$14)*(1-Accuracy!$D$16*('Resistor Network'!I25-25))</f>
        <v>17820</v>
      </c>
      <c r="M25" s="32">
        <f>Accuracy!$D$12*(1-Accuracy!$D$14)*(1+Accuracy!$D$16*('Resistor Network'!I25-25))</f>
        <v>17820</v>
      </c>
      <c r="N25" s="32">
        <f>Accuracy!$D$12*(1+Accuracy!$D$14)*(1-Accuracy!$D$16*('Resistor Network'!I25-25))</f>
        <v>18180</v>
      </c>
      <c r="O25" s="32">
        <f>Accuracy!$D$12*(1+Accuracy!$D$14)*(1+Accuracy!$D$16*('Resistor Network'!I25-25))</f>
        <v>18180</v>
      </c>
      <c r="P25" s="32">
        <f t="shared" si="1"/>
        <v>17820</v>
      </c>
      <c r="Q25" s="32">
        <f t="shared" si="2"/>
        <v>18180</v>
      </c>
      <c r="S25">
        <f>Accuracy!$D$19</f>
        <v>0</v>
      </c>
      <c r="T25" s="32">
        <f>Accuracy!$D$19*(1-Accuracy!$D$21)*(1-Accuracy!$D$23*('Resistor Network'!I25-25))</f>
        <v>0</v>
      </c>
      <c r="U25" s="32">
        <f>Accuracy!$D$19*(1-Accuracy!$D$21)*(1+Accuracy!$D$23*('Resistor Network'!I25-25))</f>
        <v>0</v>
      </c>
      <c r="V25" s="32">
        <f>Accuracy!$D$19*(1+Accuracy!$D$21)*(1-Accuracy!$D$23*('Resistor Network'!I25-25))</f>
        <v>0</v>
      </c>
      <c r="W25" s="32">
        <f>Accuracy!$D$19*(1-Accuracy!$D$21)*(1+Accuracy!$D$23*('Resistor Network'!I25-25))</f>
        <v>0</v>
      </c>
      <c r="X25" s="32">
        <f t="shared" si="3"/>
        <v>0</v>
      </c>
      <c r="Y25" s="32">
        <f t="shared" si="4"/>
        <v>0</v>
      </c>
      <c r="AB25" s="40">
        <f t="shared" si="5"/>
        <v>0.143672692673644</v>
      </c>
      <c r="AC25" s="40">
        <f t="shared" si="6"/>
        <v>0.139783551565016</v>
      </c>
      <c r="AD25" s="40">
        <f t="shared" si="7"/>
        <v>0.147651466809416</v>
      </c>
      <c r="AE25" s="40"/>
      <c r="AF25" s="40"/>
      <c r="AH25" s="36"/>
      <c r="AI25" s="45"/>
      <c r="AJ25" s="36"/>
      <c r="AL25" s="32"/>
      <c r="AM25" s="32"/>
      <c r="AN25" s="32"/>
      <c r="AP25" s="40"/>
    </row>
    <row r="26" spans="3:42">
      <c r="C26" s="8">
        <f>Accuracy!F25</f>
        <v>65</v>
      </c>
      <c r="D26" s="8">
        <f>Accuracy!G25</f>
        <v>2588</v>
      </c>
      <c r="E26" s="38">
        <f>Thermistor!T26</f>
        <v>2527.72084164229</v>
      </c>
      <c r="F26" s="38">
        <f>Thermistor!U26</f>
        <v>2649.45167807725</v>
      </c>
      <c r="G26" s="39"/>
      <c r="H26" s="39">
        <v>21</v>
      </c>
      <c r="I26" s="39">
        <f t="shared" si="0"/>
        <v>-12</v>
      </c>
      <c r="K26">
        <f>Accuracy!$D$12</f>
        <v>18000</v>
      </c>
      <c r="L26" s="32">
        <f>Accuracy!$D$12*(1-Accuracy!$D$14)*(1-Accuracy!$D$16*('Resistor Network'!I26-25))</f>
        <v>17820</v>
      </c>
      <c r="M26" s="32">
        <f>Accuracy!$D$12*(1-Accuracy!$D$14)*(1+Accuracy!$D$16*('Resistor Network'!I26-25))</f>
        <v>17820</v>
      </c>
      <c r="N26" s="32">
        <f>Accuracy!$D$12*(1+Accuracy!$D$14)*(1-Accuracy!$D$16*('Resistor Network'!I26-25))</f>
        <v>18180</v>
      </c>
      <c r="O26" s="32">
        <f>Accuracy!$D$12*(1+Accuracy!$D$14)*(1+Accuracy!$D$16*('Resistor Network'!I26-25))</f>
        <v>18180</v>
      </c>
      <c r="P26" s="32">
        <f t="shared" si="1"/>
        <v>17820</v>
      </c>
      <c r="Q26" s="32">
        <f t="shared" si="2"/>
        <v>18180</v>
      </c>
      <c r="S26">
        <f>Accuracy!$D$19</f>
        <v>0</v>
      </c>
      <c r="T26" s="32">
        <f>Accuracy!$D$19*(1-Accuracy!$D$21)*(1-Accuracy!$D$23*('Resistor Network'!I26-25))</f>
        <v>0</v>
      </c>
      <c r="U26" s="32">
        <f>Accuracy!$D$19*(1-Accuracy!$D$21)*(1+Accuracy!$D$23*('Resistor Network'!I26-25))</f>
        <v>0</v>
      </c>
      <c r="V26" s="32">
        <f>Accuracy!$D$19*(1+Accuracy!$D$21)*(1-Accuracy!$D$23*('Resistor Network'!I26-25))</f>
        <v>0</v>
      </c>
      <c r="W26" s="32">
        <f>Accuracy!$D$19*(1-Accuracy!$D$21)*(1+Accuracy!$D$23*('Resistor Network'!I26-25))</f>
        <v>0</v>
      </c>
      <c r="X26" s="32">
        <f t="shared" si="3"/>
        <v>0</v>
      </c>
      <c r="Y26" s="32">
        <f t="shared" si="4"/>
        <v>0</v>
      </c>
      <c r="AB26" s="40">
        <f t="shared" si="5"/>
        <v>0.125704293763357</v>
      </c>
      <c r="AC26" s="40">
        <f t="shared" si="6"/>
        <v>0.12206658863969</v>
      </c>
      <c r="AD26" s="40">
        <f t="shared" si="7"/>
        <v>0.129434423537334</v>
      </c>
      <c r="AE26" s="40"/>
      <c r="AF26" s="40"/>
      <c r="AH26" s="36"/>
      <c r="AI26" s="45"/>
      <c r="AJ26" s="36"/>
      <c r="AL26" s="32"/>
      <c r="AM26" s="32"/>
      <c r="AN26" s="32"/>
      <c r="AP26" s="40"/>
    </row>
    <row r="27" spans="3:42">
      <c r="C27" s="8">
        <f>Accuracy!F26</f>
        <v>70</v>
      </c>
      <c r="D27" s="8">
        <f>Accuracy!G26</f>
        <v>2228</v>
      </c>
      <c r="E27" s="38">
        <f>Thermistor!T27</f>
        <v>2172.84893226773</v>
      </c>
      <c r="F27" s="38">
        <f>Thermistor!U27</f>
        <v>2284.32245237582</v>
      </c>
      <c r="G27" s="39"/>
      <c r="H27" s="39">
        <v>22</v>
      </c>
      <c r="I27" s="39">
        <f t="shared" si="0"/>
        <v>-10.6666666666667</v>
      </c>
      <c r="K27">
        <f>Accuracy!$D$12</f>
        <v>18000</v>
      </c>
      <c r="L27" s="32">
        <f>Accuracy!$D$12*(1-Accuracy!$D$14)*(1-Accuracy!$D$16*('Resistor Network'!I27-25))</f>
        <v>17820</v>
      </c>
      <c r="M27" s="32">
        <f>Accuracy!$D$12*(1-Accuracy!$D$14)*(1+Accuracy!$D$16*('Resistor Network'!I27-25))</f>
        <v>17820</v>
      </c>
      <c r="N27" s="32">
        <f>Accuracy!$D$12*(1+Accuracy!$D$14)*(1-Accuracy!$D$16*('Resistor Network'!I27-25))</f>
        <v>18180</v>
      </c>
      <c r="O27" s="32">
        <f>Accuracy!$D$12*(1+Accuracy!$D$14)*(1+Accuracy!$D$16*('Resistor Network'!I27-25))</f>
        <v>18180</v>
      </c>
      <c r="P27" s="32">
        <f t="shared" si="1"/>
        <v>17820</v>
      </c>
      <c r="Q27" s="32">
        <f t="shared" si="2"/>
        <v>18180</v>
      </c>
      <c r="S27">
        <f>Accuracy!$D$19</f>
        <v>0</v>
      </c>
      <c r="T27" s="32">
        <f>Accuracy!$D$19*(1-Accuracy!$D$21)*(1-Accuracy!$D$23*('Resistor Network'!I27-25))</f>
        <v>0</v>
      </c>
      <c r="U27" s="32">
        <f>Accuracy!$D$19*(1-Accuracy!$D$21)*(1+Accuracy!$D$23*('Resistor Network'!I27-25))</f>
        <v>0</v>
      </c>
      <c r="V27" s="32">
        <f>Accuracy!$D$19*(1+Accuracy!$D$21)*(1-Accuracy!$D$23*('Resistor Network'!I27-25))</f>
        <v>0</v>
      </c>
      <c r="W27" s="32">
        <f>Accuracy!$D$19*(1-Accuracy!$D$21)*(1+Accuracy!$D$23*('Resistor Network'!I27-25))</f>
        <v>0</v>
      </c>
      <c r="X27" s="32">
        <f t="shared" si="3"/>
        <v>0</v>
      </c>
      <c r="Y27" s="32">
        <f t="shared" si="4"/>
        <v>0</v>
      </c>
      <c r="AB27" s="40">
        <f t="shared" si="5"/>
        <v>0.110144354360293</v>
      </c>
      <c r="AC27" s="40">
        <f t="shared" si="6"/>
        <v>0.106758957406836</v>
      </c>
      <c r="AD27" s="40">
        <f t="shared" si="7"/>
        <v>0.113623448777597</v>
      </c>
      <c r="AE27" s="40"/>
      <c r="AF27" s="40"/>
      <c r="AH27" s="36"/>
      <c r="AI27" s="45"/>
      <c r="AJ27" s="36"/>
      <c r="AL27" s="32"/>
      <c r="AM27" s="32"/>
      <c r="AN27" s="32"/>
      <c r="AP27" s="40"/>
    </row>
    <row r="28" spans="3:42">
      <c r="C28" s="8">
        <f>Accuracy!F27</f>
        <v>75</v>
      </c>
      <c r="D28" s="8">
        <f>Accuracy!G27</f>
        <v>1924</v>
      </c>
      <c r="E28" s="38">
        <f>Thermistor!T28</f>
        <v>1873.6234484778</v>
      </c>
      <c r="F28" s="38">
        <f>Thermistor!U28</f>
        <v>1975.53346453214</v>
      </c>
      <c r="G28" s="39"/>
      <c r="H28" s="39">
        <v>23</v>
      </c>
      <c r="I28" s="39">
        <f t="shared" si="0"/>
        <v>-9.33333333333334</v>
      </c>
      <c r="K28">
        <f>Accuracy!$D$12</f>
        <v>18000</v>
      </c>
      <c r="L28" s="32">
        <f>Accuracy!$D$12*(1-Accuracy!$D$14)*(1-Accuracy!$D$16*('Resistor Network'!I28-25))</f>
        <v>17820</v>
      </c>
      <c r="M28" s="32">
        <f>Accuracy!$D$12*(1-Accuracy!$D$14)*(1+Accuracy!$D$16*('Resistor Network'!I28-25))</f>
        <v>17820</v>
      </c>
      <c r="N28" s="32">
        <f>Accuracy!$D$12*(1+Accuracy!$D$14)*(1-Accuracy!$D$16*('Resistor Network'!I28-25))</f>
        <v>18180</v>
      </c>
      <c r="O28" s="32">
        <f>Accuracy!$D$12*(1+Accuracy!$D$14)*(1+Accuracy!$D$16*('Resistor Network'!I28-25))</f>
        <v>18180</v>
      </c>
      <c r="P28" s="32">
        <f t="shared" si="1"/>
        <v>17820</v>
      </c>
      <c r="Q28" s="32">
        <f t="shared" si="2"/>
        <v>18180</v>
      </c>
      <c r="S28">
        <f>Accuracy!$D$19</f>
        <v>0</v>
      </c>
      <c r="T28" s="32">
        <f>Accuracy!$D$19*(1-Accuracy!$D$21)*(1-Accuracy!$D$23*('Resistor Network'!I28-25))</f>
        <v>0</v>
      </c>
      <c r="U28" s="32">
        <f>Accuracy!$D$19*(1-Accuracy!$D$21)*(1+Accuracy!$D$23*('Resistor Network'!I28-25))</f>
        <v>0</v>
      </c>
      <c r="V28" s="32">
        <f>Accuracy!$D$19*(1+Accuracy!$D$21)*(1-Accuracy!$D$23*('Resistor Network'!I28-25))</f>
        <v>0</v>
      </c>
      <c r="W28" s="32">
        <f>Accuracy!$D$19*(1-Accuracy!$D$21)*(1+Accuracy!$D$23*('Resistor Network'!I28-25))</f>
        <v>0</v>
      </c>
      <c r="X28" s="32">
        <f t="shared" si="3"/>
        <v>0</v>
      </c>
      <c r="Y28" s="32">
        <f t="shared" si="4"/>
        <v>0</v>
      </c>
      <c r="AB28" s="40">
        <f t="shared" si="5"/>
        <v>0.0965669544268219</v>
      </c>
      <c r="AC28" s="40">
        <f t="shared" si="6"/>
        <v>0.0934306686914487</v>
      </c>
      <c r="AD28" s="40">
        <f t="shared" si="7"/>
        <v>0.09979692985146</v>
      </c>
      <c r="AE28" s="40"/>
      <c r="AF28" s="40"/>
      <c r="AH28" s="36"/>
      <c r="AI28" s="45"/>
      <c r="AJ28" s="36"/>
      <c r="AL28" s="32"/>
      <c r="AM28" s="32"/>
      <c r="AN28" s="32"/>
      <c r="AP28" s="40"/>
    </row>
    <row r="29" spans="3:42">
      <c r="C29" s="8">
        <f>Accuracy!F28</f>
        <v>80</v>
      </c>
      <c r="D29" s="8">
        <f>Accuracy!G28</f>
        <v>1668</v>
      </c>
      <c r="E29" s="38">
        <f>Thermistor!T29</f>
        <v>1622.00878234157</v>
      </c>
      <c r="F29" s="38">
        <f>Thermistor!U29</f>
        <v>1715.12374525119</v>
      </c>
      <c r="G29" s="39"/>
      <c r="H29" s="39">
        <v>24</v>
      </c>
      <c r="I29" s="39">
        <f t="shared" si="0"/>
        <v>-8</v>
      </c>
      <c r="K29">
        <f>Accuracy!$D$12</f>
        <v>18000</v>
      </c>
      <c r="L29" s="32">
        <f>Accuracy!$D$12*(1-Accuracy!$D$14)*(1-Accuracy!$D$16*('Resistor Network'!I29-25))</f>
        <v>17820</v>
      </c>
      <c r="M29" s="32">
        <f>Accuracy!$D$12*(1-Accuracy!$D$14)*(1+Accuracy!$D$16*('Resistor Network'!I29-25))</f>
        <v>17820</v>
      </c>
      <c r="N29" s="32">
        <f>Accuracy!$D$12*(1+Accuracy!$D$14)*(1-Accuracy!$D$16*('Resistor Network'!I29-25))</f>
        <v>18180</v>
      </c>
      <c r="O29" s="32">
        <f>Accuracy!$D$12*(1+Accuracy!$D$14)*(1+Accuracy!$D$16*('Resistor Network'!I29-25))</f>
        <v>18180</v>
      </c>
      <c r="P29" s="32">
        <f t="shared" si="1"/>
        <v>17820</v>
      </c>
      <c r="Q29" s="32">
        <f t="shared" si="2"/>
        <v>18180</v>
      </c>
      <c r="S29">
        <f>Accuracy!$D$19</f>
        <v>0</v>
      </c>
      <c r="T29" s="32">
        <f>Accuracy!$D$19*(1-Accuracy!$D$21)*(1-Accuracy!$D$23*('Resistor Network'!I29-25))</f>
        <v>0</v>
      </c>
      <c r="U29" s="32">
        <f>Accuracy!$D$19*(1-Accuracy!$D$21)*(1+Accuracy!$D$23*('Resistor Network'!I29-25))</f>
        <v>0</v>
      </c>
      <c r="V29" s="32">
        <f>Accuracy!$D$19*(1+Accuracy!$D$21)*(1-Accuracy!$D$23*('Resistor Network'!I29-25))</f>
        <v>0</v>
      </c>
      <c r="W29" s="32">
        <f>Accuracy!$D$19*(1-Accuracy!$D$21)*(1+Accuracy!$D$23*('Resistor Network'!I29-25))</f>
        <v>0</v>
      </c>
      <c r="X29" s="32">
        <f t="shared" si="3"/>
        <v>0</v>
      </c>
      <c r="Y29" s="32">
        <f t="shared" si="4"/>
        <v>0</v>
      </c>
      <c r="AB29" s="40">
        <f t="shared" si="5"/>
        <v>0.0848078096400244</v>
      </c>
      <c r="AC29" s="40">
        <f t="shared" si="6"/>
        <v>0.0819113252685756</v>
      </c>
      <c r="AD29" s="40">
        <f t="shared" si="7"/>
        <v>0.0877969224877893</v>
      </c>
      <c r="AE29" s="40"/>
      <c r="AF29" s="40"/>
      <c r="AH29" s="36"/>
      <c r="AI29" s="45"/>
      <c r="AJ29" s="36"/>
      <c r="AL29" s="32"/>
      <c r="AM29" s="32"/>
      <c r="AN29" s="32"/>
      <c r="AP29" s="40"/>
    </row>
    <row r="30" spans="3:42">
      <c r="C30" s="8">
        <f>Accuracy!F29</f>
        <v>85</v>
      </c>
      <c r="D30" s="8">
        <f>Accuracy!G29</f>
        <v>1451</v>
      </c>
      <c r="E30" s="38">
        <f>Thermistor!T30</f>
        <v>1409.02688952957</v>
      </c>
      <c r="F30" s="38">
        <f>Thermistor!U30</f>
        <v>1494.07401345113</v>
      </c>
      <c r="G30" s="39"/>
      <c r="H30" s="39">
        <v>25</v>
      </c>
      <c r="I30" s="39">
        <f t="shared" si="0"/>
        <v>-6.66666666666667</v>
      </c>
      <c r="K30">
        <f>Accuracy!$D$12</f>
        <v>18000</v>
      </c>
      <c r="L30" s="32">
        <f>Accuracy!$D$12*(1-Accuracy!$D$14)*(1-Accuracy!$D$16*('Resistor Network'!I30-25))</f>
        <v>17820</v>
      </c>
      <c r="M30" s="32">
        <f>Accuracy!$D$12*(1-Accuracy!$D$14)*(1+Accuracy!$D$16*('Resistor Network'!I30-25))</f>
        <v>17820</v>
      </c>
      <c r="N30" s="32">
        <f>Accuracy!$D$12*(1+Accuracy!$D$14)*(1-Accuracy!$D$16*('Resistor Network'!I30-25))</f>
        <v>18180</v>
      </c>
      <c r="O30" s="32">
        <f>Accuracy!$D$12*(1+Accuracy!$D$14)*(1+Accuracy!$D$16*('Resistor Network'!I30-25))</f>
        <v>18180</v>
      </c>
      <c r="P30" s="32">
        <f t="shared" si="1"/>
        <v>17820</v>
      </c>
      <c r="Q30" s="32">
        <f t="shared" si="2"/>
        <v>18180</v>
      </c>
      <c r="S30">
        <f>Accuracy!$D$19</f>
        <v>0</v>
      </c>
      <c r="T30" s="32">
        <f>Accuracy!$D$19*(1-Accuracy!$D$21)*(1-Accuracy!$D$23*('Resistor Network'!I30-25))</f>
        <v>0</v>
      </c>
      <c r="U30" s="32">
        <f>Accuracy!$D$19*(1-Accuracy!$D$21)*(1+Accuracy!$D$23*('Resistor Network'!I30-25))</f>
        <v>0</v>
      </c>
      <c r="V30" s="32">
        <f>Accuracy!$D$19*(1+Accuracy!$D$21)*(1-Accuracy!$D$23*('Resistor Network'!I30-25))</f>
        <v>0</v>
      </c>
      <c r="W30" s="32">
        <f>Accuracy!$D$19*(1-Accuracy!$D$21)*(1+Accuracy!$D$23*('Resistor Network'!I30-25))</f>
        <v>0</v>
      </c>
      <c r="X30" s="32">
        <f t="shared" si="3"/>
        <v>0</v>
      </c>
      <c r="Y30" s="32">
        <f t="shared" si="4"/>
        <v>0</v>
      </c>
      <c r="AB30" s="40">
        <f t="shared" si="5"/>
        <v>0.074597707058763</v>
      </c>
      <c r="AC30" s="40">
        <f t="shared" si="6"/>
        <v>0.0719293968748749</v>
      </c>
      <c r="AD30" s="40">
        <f t="shared" si="7"/>
        <v>0.077356750958425</v>
      </c>
      <c r="AE30" s="40"/>
      <c r="AF30" s="40"/>
      <c r="AH30" s="36"/>
      <c r="AI30" s="45"/>
      <c r="AJ30" s="36"/>
      <c r="AL30" s="32"/>
      <c r="AM30" s="32"/>
      <c r="AN30" s="32"/>
      <c r="AP30" s="40"/>
    </row>
    <row r="31" spans="3:42">
      <c r="C31" s="8">
        <f>Accuracy!F30</f>
        <v>90</v>
      </c>
      <c r="D31" s="8">
        <f>Accuracy!G30</f>
        <v>1266</v>
      </c>
      <c r="E31" s="38">
        <f>Thermistor!T31</f>
        <v>1227.70277456966</v>
      </c>
      <c r="F31" s="38">
        <f>Thermistor!U31</f>
        <v>1305.36132816165</v>
      </c>
      <c r="G31" s="39"/>
      <c r="H31" s="39">
        <v>26</v>
      </c>
      <c r="I31" s="39">
        <f t="shared" si="0"/>
        <v>-5.33333333333334</v>
      </c>
      <c r="K31">
        <f>Accuracy!$D$12</f>
        <v>18000</v>
      </c>
      <c r="L31" s="32">
        <f>Accuracy!$D$12*(1-Accuracy!$D$14)*(1-Accuracy!$D$16*('Resistor Network'!I31-25))</f>
        <v>17820</v>
      </c>
      <c r="M31" s="32">
        <f>Accuracy!$D$12*(1-Accuracy!$D$14)*(1+Accuracy!$D$16*('Resistor Network'!I31-25))</f>
        <v>17820</v>
      </c>
      <c r="N31" s="32">
        <f>Accuracy!$D$12*(1+Accuracy!$D$14)*(1-Accuracy!$D$16*('Resistor Network'!I31-25))</f>
        <v>18180</v>
      </c>
      <c r="O31" s="32">
        <f>Accuracy!$D$12*(1+Accuracy!$D$14)*(1+Accuracy!$D$16*('Resistor Network'!I31-25))</f>
        <v>18180</v>
      </c>
      <c r="P31" s="32">
        <f t="shared" si="1"/>
        <v>17820</v>
      </c>
      <c r="Q31" s="32">
        <f t="shared" si="2"/>
        <v>18180</v>
      </c>
      <c r="S31">
        <f>Accuracy!$D$19</f>
        <v>0</v>
      </c>
      <c r="T31" s="32">
        <f>Accuracy!$D$19*(1-Accuracy!$D$21)*(1-Accuracy!$D$23*('Resistor Network'!I31-25))</f>
        <v>0</v>
      </c>
      <c r="U31" s="32">
        <f>Accuracy!$D$19*(1-Accuracy!$D$21)*(1+Accuracy!$D$23*('Resistor Network'!I31-25))</f>
        <v>0</v>
      </c>
      <c r="V31" s="32">
        <f>Accuracy!$D$19*(1+Accuracy!$D$21)*(1-Accuracy!$D$23*('Resistor Network'!I31-25))</f>
        <v>0</v>
      </c>
      <c r="W31" s="32">
        <f>Accuracy!$D$19*(1-Accuracy!$D$21)*(1+Accuracy!$D$23*('Resistor Network'!I31-25))</f>
        <v>0</v>
      </c>
      <c r="X31" s="32">
        <f t="shared" si="3"/>
        <v>0</v>
      </c>
      <c r="Y31" s="32">
        <f t="shared" si="4"/>
        <v>0</v>
      </c>
      <c r="AB31" s="40">
        <f t="shared" si="5"/>
        <v>0.0657116163189038</v>
      </c>
      <c r="AC31" s="40">
        <f t="shared" si="6"/>
        <v>0.0632585313589173</v>
      </c>
      <c r="AD31" s="40">
        <f t="shared" si="7"/>
        <v>0.0682528975930792</v>
      </c>
      <c r="AE31" s="40"/>
      <c r="AF31" s="40"/>
      <c r="AH31" s="36"/>
      <c r="AI31" s="45"/>
      <c r="AJ31" s="36"/>
      <c r="AL31" s="32"/>
      <c r="AM31" s="32"/>
      <c r="AN31" s="32"/>
      <c r="AP31" s="40"/>
    </row>
    <row r="32" spans="3:42">
      <c r="C32" s="8">
        <f>Accuracy!F31</f>
        <v>95</v>
      </c>
      <c r="D32" s="8">
        <f>Accuracy!G31</f>
        <v>1108</v>
      </c>
      <c r="E32" s="38">
        <f>Thermistor!T32</f>
        <v>1073.0509727627</v>
      </c>
      <c r="F32" s="38">
        <f>Thermistor!U32</f>
        <v>1143.97290041082</v>
      </c>
      <c r="G32" s="39"/>
      <c r="H32" s="39">
        <v>27</v>
      </c>
      <c r="I32" s="39">
        <f t="shared" si="0"/>
        <v>-4</v>
      </c>
      <c r="K32">
        <f>Accuracy!$D$12</f>
        <v>18000</v>
      </c>
      <c r="L32" s="32">
        <f>Accuracy!$D$12*(1-Accuracy!$D$14)*(1-Accuracy!$D$16*('Resistor Network'!I32-25))</f>
        <v>17820</v>
      </c>
      <c r="M32" s="32">
        <f>Accuracy!$D$12*(1-Accuracy!$D$14)*(1+Accuracy!$D$16*('Resistor Network'!I32-25))</f>
        <v>17820</v>
      </c>
      <c r="N32" s="32">
        <f>Accuracy!$D$12*(1+Accuracy!$D$14)*(1-Accuracy!$D$16*('Resistor Network'!I32-25))</f>
        <v>18180</v>
      </c>
      <c r="O32" s="32">
        <f>Accuracy!$D$12*(1+Accuracy!$D$14)*(1+Accuracy!$D$16*('Resistor Network'!I32-25))</f>
        <v>18180</v>
      </c>
      <c r="P32" s="32">
        <f t="shared" si="1"/>
        <v>17820</v>
      </c>
      <c r="Q32" s="32">
        <f t="shared" si="2"/>
        <v>18180</v>
      </c>
      <c r="S32">
        <f>Accuracy!$D$19</f>
        <v>0</v>
      </c>
      <c r="T32" s="32">
        <f>Accuracy!$D$19*(1-Accuracy!$D$21)*(1-Accuracy!$D$23*('Resistor Network'!I32-25))</f>
        <v>0</v>
      </c>
      <c r="U32" s="32">
        <f>Accuracy!$D$19*(1-Accuracy!$D$21)*(1+Accuracy!$D$23*('Resistor Network'!I32-25))</f>
        <v>0</v>
      </c>
      <c r="V32" s="32">
        <f>Accuracy!$D$19*(1+Accuracy!$D$21)*(1-Accuracy!$D$23*('Resistor Network'!I32-25))</f>
        <v>0</v>
      </c>
      <c r="W32" s="32">
        <f>Accuracy!$D$19*(1-Accuracy!$D$21)*(1+Accuracy!$D$23*('Resistor Network'!I32-25))</f>
        <v>0</v>
      </c>
      <c r="X32" s="32">
        <f t="shared" si="3"/>
        <v>0</v>
      </c>
      <c r="Y32" s="32">
        <f t="shared" si="4"/>
        <v>0</v>
      </c>
      <c r="AB32" s="40">
        <f t="shared" si="5"/>
        <v>0.0579861837973624</v>
      </c>
      <c r="AC32" s="40">
        <f t="shared" si="6"/>
        <v>0.0557340742659825</v>
      </c>
      <c r="AD32" s="40">
        <f t="shared" si="7"/>
        <v>0.0603234831866922</v>
      </c>
      <c r="AE32" s="40"/>
      <c r="AF32" s="40"/>
      <c r="AH32" s="36"/>
      <c r="AI32" s="45"/>
      <c r="AJ32" s="36"/>
      <c r="AL32" s="32"/>
      <c r="AM32" s="32"/>
      <c r="AN32" s="32"/>
      <c r="AP32" s="40"/>
    </row>
    <row r="33" spans="3:42">
      <c r="C33" s="8">
        <f>Accuracy!F32</f>
        <v>100</v>
      </c>
      <c r="D33" s="8">
        <f>Accuracy!G32</f>
        <v>973.1</v>
      </c>
      <c r="E33" s="38">
        <f>Thermistor!T33</f>
        <v>941.183363420306</v>
      </c>
      <c r="F33" s="38">
        <f>Thermistor!U33</f>
        <v>1005.99835742759</v>
      </c>
      <c r="G33" s="39"/>
      <c r="H33" s="39">
        <v>28</v>
      </c>
      <c r="I33" s="39">
        <f t="shared" si="0"/>
        <v>-2.66666666666667</v>
      </c>
      <c r="K33">
        <f>Accuracy!$D$12</f>
        <v>18000</v>
      </c>
      <c r="L33" s="32">
        <f>Accuracy!$D$12*(1-Accuracy!$D$14)*(1-Accuracy!$D$16*('Resistor Network'!I33-25))</f>
        <v>17820</v>
      </c>
      <c r="M33" s="32">
        <f>Accuracy!$D$12*(1-Accuracy!$D$14)*(1+Accuracy!$D$16*('Resistor Network'!I33-25))</f>
        <v>17820</v>
      </c>
      <c r="N33" s="32">
        <f>Accuracy!$D$12*(1+Accuracy!$D$14)*(1-Accuracy!$D$16*('Resistor Network'!I33-25))</f>
        <v>18180</v>
      </c>
      <c r="O33" s="32">
        <f>Accuracy!$D$12*(1+Accuracy!$D$14)*(1+Accuracy!$D$16*('Resistor Network'!I33-25))</f>
        <v>18180</v>
      </c>
      <c r="P33" s="32">
        <f t="shared" si="1"/>
        <v>17820</v>
      </c>
      <c r="Q33" s="32">
        <f t="shared" si="2"/>
        <v>18180</v>
      </c>
      <c r="S33">
        <f>Accuracy!$D$19</f>
        <v>0</v>
      </c>
      <c r="T33" s="32">
        <f>Accuracy!$D$19*(1-Accuracy!$D$21)*(1-Accuracy!$D$23*('Resistor Network'!I33-25))</f>
        <v>0</v>
      </c>
      <c r="U33" s="32">
        <f>Accuracy!$D$19*(1-Accuracy!$D$21)*(1+Accuracy!$D$23*('Resistor Network'!I33-25))</f>
        <v>0</v>
      </c>
      <c r="V33" s="32">
        <f>Accuracy!$D$19*(1+Accuracy!$D$21)*(1-Accuracy!$D$23*('Resistor Network'!I33-25))</f>
        <v>0</v>
      </c>
      <c r="W33" s="32">
        <f>Accuracy!$D$19*(1-Accuracy!$D$21)*(1+Accuracy!$D$23*('Resistor Network'!I33-25))</f>
        <v>0</v>
      </c>
      <c r="X33" s="32">
        <f t="shared" si="3"/>
        <v>0</v>
      </c>
      <c r="Y33" s="32">
        <f t="shared" si="4"/>
        <v>0</v>
      </c>
      <c r="AB33" s="40">
        <f t="shared" si="5"/>
        <v>0.0512884030548513</v>
      </c>
      <c r="AC33" s="40">
        <f t="shared" si="6"/>
        <v>0.0492220248889424</v>
      </c>
      <c r="AD33" s="40">
        <f t="shared" si="7"/>
        <v>0.0534366538404951</v>
      </c>
      <c r="AE33" s="40"/>
      <c r="AF33" s="40"/>
      <c r="AH33" s="36"/>
      <c r="AI33" s="45"/>
      <c r="AJ33" s="36"/>
      <c r="AL33" s="32"/>
      <c r="AM33" s="32"/>
      <c r="AN33" s="32"/>
      <c r="AP33" s="40"/>
    </row>
    <row r="34" spans="3:42">
      <c r="C34" s="8">
        <f>Accuracy!F33</f>
        <v>105</v>
      </c>
      <c r="D34" s="8">
        <f>Accuracy!G33</f>
        <v>857.2</v>
      </c>
      <c r="E34" s="38">
        <f>Thermistor!T34</f>
        <v>828.034016824007</v>
      </c>
      <c r="F34" s="38">
        <f>Thermistor!U34</f>
        <v>887.304562237761</v>
      </c>
      <c r="G34" s="39"/>
      <c r="H34" s="39">
        <v>29</v>
      </c>
      <c r="I34" s="39">
        <f t="shared" si="0"/>
        <v>-1.33333333333334</v>
      </c>
      <c r="K34">
        <f>Accuracy!$D$12</f>
        <v>18000</v>
      </c>
      <c r="L34" s="32">
        <f>Accuracy!$D$12*(1-Accuracy!$D$14)*(1-Accuracy!$D$16*('Resistor Network'!I34-25))</f>
        <v>17820</v>
      </c>
      <c r="M34" s="32">
        <f>Accuracy!$D$12*(1-Accuracy!$D$14)*(1+Accuracy!$D$16*('Resistor Network'!I34-25))</f>
        <v>17820</v>
      </c>
      <c r="N34" s="32">
        <f>Accuracy!$D$12*(1+Accuracy!$D$14)*(1-Accuracy!$D$16*('Resistor Network'!I34-25))</f>
        <v>18180</v>
      </c>
      <c r="O34" s="32">
        <f>Accuracy!$D$12*(1+Accuracy!$D$14)*(1+Accuracy!$D$16*('Resistor Network'!I34-25))</f>
        <v>18180</v>
      </c>
      <c r="P34" s="32">
        <f t="shared" si="1"/>
        <v>17820</v>
      </c>
      <c r="Q34" s="32">
        <f t="shared" si="2"/>
        <v>18180</v>
      </c>
      <c r="S34">
        <f>Accuracy!$D$19</f>
        <v>0</v>
      </c>
      <c r="T34" s="32">
        <f>Accuracy!$D$19*(1-Accuracy!$D$21)*(1-Accuracy!$D$23*('Resistor Network'!I34-25))</f>
        <v>0</v>
      </c>
      <c r="U34" s="32">
        <f>Accuracy!$D$19*(1-Accuracy!$D$21)*(1+Accuracy!$D$23*('Resistor Network'!I34-25))</f>
        <v>0</v>
      </c>
      <c r="V34" s="32">
        <f>Accuracy!$D$19*(1+Accuracy!$D$21)*(1-Accuracy!$D$23*('Resistor Network'!I34-25))</f>
        <v>0</v>
      </c>
      <c r="W34" s="32">
        <f>Accuracy!$D$19*(1-Accuracy!$D$21)*(1+Accuracy!$D$23*('Resistor Network'!I34-25))</f>
        <v>0</v>
      </c>
      <c r="X34" s="32">
        <f t="shared" si="3"/>
        <v>0</v>
      </c>
      <c r="Y34" s="32">
        <f t="shared" si="4"/>
        <v>0</v>
      </c>
      <c r="AB34" s="40">
        <f t="shared" si="5"/>
        <v>0.0454574380077636</v>
      </c>
      <c r="AC34" s="40">
        <f t="shared" si="6"/>
        <v>0.0435623177068767</v>
      </c>
      <c r="AD34" s="40">
        <f t="shared" si="7"/>
        <v>0.0474309144476569</v>
      </c>
      <c r="AE34" s="40"/>
      <c r="AF34" s="40"/>
      <c r="AH34" s="36"/>
      <c r="AI34" s="45"/>
      <c r="AJ34" s="36"/>
      <c r="AL34" s="32"/>
      <c r="AM34" s="32"/>
      <c r="AN34" s="32"/>
      <c r="AP34" s="40"/>
    </row>
    <row r="35" spans="3:42">
      <c r="C35" s="8">
        <f>Accuracy!F34</f>
        <v>110</v>
      </c>
      <c r="D35" s="8">
        <f>Accuracy!G34</f>
        <v>757.6</v>
      </c>
      <c r="E35" s="38">
        <f>Thermistor!T35</f>
        <v>730.919519844871</v>
      </c>
      <c r="F35" s="38">
        <f>Thermistor!U35</f>
        <v>785.175862242403</v>
      </c>
      <c r="G35" s="39"/>
      <c r="H35" s="39">
        <v>30</v>
      </c>
      <c r="I35" s="39">
        <f t="shared" si="0"/>
        <v>0</v>
      </c>
      <c r="K35">
        <f>Accuracy!$D$12</f>
        <v>18000</v>
      </c>
      <c r="L35" s="32">
        <f>Accuracy!$D$12*(1-Accuracy!$D$14)*(1-Accuracy!$D$16*('Resistor Network'!I35-25))</f>
        <v>17820</v>
      </c>
      <c r="M35" s="32">
        <f>Accuracy!$D$12*(1-Accuracy!$D$14)*(1+Accuracy!$D$16*('Resistor Network'!I35-25))</f>
        <v>17820</v>
      </c>
      <c r="N35" s="32">
        <f>Accuracy!$D$12*(1+Accuracy!$D$14)*(1-Accuracy!$D$16*('Resistor Network'!I35-25))</f>
        <v>18180</v>
      </c>
      <c r="O35" s="32">
        <f>Accuracy!$D$12*(1+Accuracy!$D$14)*(1+Accuracy!$D$16*('Resistor Network'!I35-25))</f>
        <v>18180</v>
      </c>
      <c r="P35" s="32">
        <f t="shared" si="1"/>
        <v>17820</v>
      </c>
      <c r="Q35" s="32">
        <f t="shared" si="2"/>
        <v>18180</v>
      </c>
      <c r="S35">
        <f>Accuracy!$D$19</f>
        <v>0</v>
      </c>
      <c r="T35" s="32">
        <f>Accuracy!$D$19*(1-Accuracy!$D$21)*(1-Accuracy!$D$23*('Resistor Network'!I35-25))</f>
        <v>0</v>
      </c>
      <c r="U35" s="32">
        <f>Accuracy!$D$19*(1-Accuracy!$D$21)*(1+Accuracy!$D$23*('Resistor Network'!I35-25))</f>
        <v>0</v>
      </c>
      <c r="V35" s="32">
        <f>Accuracy!$D$19*(1+Accuracy!$D$21)*(1-Accuracy!$D$23*('Resistor Network'!I35-25))</f>
        <v>0</v>
      </c>
      <c r="W35" s="32">
        <f>Accuracy!$D$19*(1-Accuracy!$D$21)*(1+Accuracy!$D$23*('Resistor Network'!I35-25))</f>
        <v>0</v>
      </c>
      <c r="X35" s="32">
        <f t="shared" si="3"/>
        <v>0</v>
      </c>
      <c r="Y35" s="32">
        <f t="shared" si="4"/>
        <v>0</v>
      </c>
      <c r="AB35" s="40">
        <f t="shared" ref="AB35:AB40" si="8">(D35+S35)/(D35+S35+K35)</f>
        <v>0.0403889623405979</v>
      </c>
      <c r="AC35" s="40">
        <f t="shared" si="6"/>
        <v>0.038650659957484</v>
      </c>
      <c r="AD35" s="40">
        <f t="shared" si="7"/>
        <v>0.0422020123892432</v>
      </c>
      <c r="AE35" s="40"/>
      <c r="AF35" s="40"/>
      <c r="AH35" s="36"/>
      <c r="AI35" s="45"/>
      <c r="AJ35" s="36"/>
      <c r="AL35" s="32"/>
      <c r="AM35" s="32"/>
      <c r="AN35" s="32"/>
      <c r="AP35" s="40"/>
    </row>
    <row r="36" spans="3:42">
      <c r="C36" s="8">
        <f>Accuracy!F35</f>
        <v>115</v>
      </c>
      <c r="D36" s="8">
        <f>Accuracy!G35</f>
        <v>0</v>
      </c>
      <c r="E36" s="38" t="e">
        <f>Thermistor!T36</f>
        <v>#NUM!</v>
      </c>
      <c r="F36" s="38" t="e">
        <f>Thermistor!U36</f>
        <v>#NUM!</v>
      </c>
      <c r="G36" s="39"/>
      <c r="H36" s="39">
        <v>31</v>
      </c>
      <c r="I36" s="39">
        <f t="shared" si="0"/>
        <v>1.33333333333333</v>
      </c>
      <c r="K36">
        <f>Accuracy!$D$12</f>
        <v>18000</v>
      </c>
      <c r="L36" s="32">
        <f>Accuracy!$D$12*(1-Accuracy!$D$14)*(1-Accuracy!$D$16*('Resistor Network'!I36-25))</f>
        <v>17820</v>
      </c>
      <c r="M36" s="32">
        <f>Accuracy!$D$12*(1-Accuracy!$D$14)*(1+Accuracy!$D$16*('Resistor Network'!I36-25))</f>
        <v>17820</v>
      </c>
      <c r="N36" s="32">
        <f>Accuracy!$D$12*(1+Accuracy!$D$14)*(1-Accuracy!$D$16*('Resistor Network'!I36-25))</f>
        <v>18180</v>
      </c>
      <c r="O36" s="32">
        <f>Accuracy!$D$12*(1+Accuracy!$D$14)*(1+Accuracy!$D$16*('Resistor Network'!I36-25))</f>
        <v>18180</v>
      </c>
      <c r="P36" s="32">
        <f t="shared" si="1"/>
        <v>17820</v>
      </c>
      <c r="Q36" s="32">
        <f t="shared" si="2"/>
        <v>18180</v>
      </c>
      <c r="S36">
        <f>Accuracy!$D$19</f>
        <v>0</v>
      </c>
      <c r="T36" s="32">
        <f>Accuracy!$D$19*(1-Accuracy!$D$21)*(1-Accuracy!$D$23*('Resistor Network'!I36-25))</f>
        <v>0</v>
      </c>
      <c r="U36" s="32">
        <f>Accuracy!$D$19*(1-Accuracy!$D$21)*(1+Accuracy!$D$23*('Resistor Network'!I36-25))</f>
        <v>0</v>
      </c>
      <c r="V36" s="32">
        <f>Accuracy!$D$19*(1+Accuracy!$D$21)*(1-Accuracy!$D$23*('Resistor Network'!I36-25))</f>
        <v>0</v>
      </c>
      <c r="W36" s="32">
        <f>Accuracy!$D$19*(1-Accuracy!$D$21)*(1+Accuracy!$D$23*('Resistor Network'!I36-25))</f>
        <v>0</v>
      </c>
      <c r="X36" s="32">
        <f t="shared" si="3"/>
        <v>0</v>
      </c>
      <c r="Y36" s="32">
        <f t="shared" si="4"/>
        <v>0</v>
      </c>
      <c r="AB36" s="40">
        <f t="shared" si="8"/>
        <v>0</v>
      </c>
      <c r="AC36" s="40" t="e">
        <f t="shared" si="6"/>
        <v>#NUM!</v>
      </c>
      <c r="AD36" s="40" t="e">
        <f t="shared" si="7"/>
        <v>#NUM!</v>
      </c>
      <c r="AE36" s="40"/>
      <c r="AF36" s="40"/>
      <c r="AH36" s="36"/>
      <c r="AI36" s="45"/>
      <c r="AJ36" s="36"/>
      <c r="AL36" s="32"/>
      <c r="AM36" s="32"/>
      <c r="AN36" s="32"/>
      <c r="AP36" s="40"/>
    </row>
    <row r="37" spans="3:42">
      <c r="C37" s="8">
        <f>Accuracy!F36</f>
        <v>0</v>
      </c>
      <c r="D37" s="8">
        <f>Accuracy!G36</f>
        <v>0</v>
      </c>
      <c r="E37" s="38" t="e">
        <f>Thermistor!T37</f>
        <v>#NUM!</v>
      </c>
      <c r="F37" s="38" t="e">
        <f>Thermistor!U37</f>
        <v>#NUM!</v>
      </c>
      <c r="G37" s="39"/>
      <c r="H37" s="39">
        <v>32</v>
      </c>
      <c r="I37" s="39">
        <f t="shared" si="0"/>
        <v>2.66666666666666</v>
      </c>
      <c r="K37">
        <f>Accuracy!$D$12</f>
        <v>18000</v>
      </c>
      <c r="L37" s="32">
        <f>Accuracy!$D$12*(1-Accuracy!$D$14)*(1-Accuracy!$D$16*('Resistor Network'!I37-25))</f>
        <v>17820</v>
      </c>
      <c r="M37" s="32">
        <f>Accuracy!$D$12*(1-Accuracy!$D$14)*(1+Accuracy!$D$16*('Resistor Network'!I37-25))</f>
        <v>17820</v>
      </c>
      <c r="N37" s="32">
        <f>Accuracy!$D$12*(1+Accuracy!$D$14)*(1-Accuracy!$D$16*('Resistor Network'!I37-25))</f>
        <v>18180</v>
      </c>
      <c r="O37" s="32">
        <f>Accuracy!$D$12*(1+Accuracy!$D$14)*(1+Accuracy!$D$16*('Resistor Network'!I37-25))</f>
        <v>18180</v>
      </c>
      <c r="P37" s="32">
        <f t="shared" si="1"/>
        <v>17820</v>
      </c>
      <c r="Q37" s="32">
        <f t="shared" si="2"/>
        <v>18180</v>
      </c>
      <c r="S37">
        <f>Accuracy!$D$19</f>
        <v>0</v>
      </c>
      <c r="T37" s="32">
        <f>Accuracy!$D$19*(1-Accuracy!$D$21)*(1-Accuracy!$D$23*('Resistor Network'!I37-25))</f>
        <v>0</v>
      </c>
      <c r="U37" s="32">
        <f>Accuracy!$D$19*(1-Accuracy!$D$21)*(1+Accuracy!$D$23*('Resistor Network'!I37-25))</f>
        <v>0</v>
      </c>
      <c r="V37" s="32">
        <f>Accuracy!$D$19*(1+Accuracy!$D$21)*(1-Accuracy!$D$23*('Resistor Network'!I37-25))</f>
        <v>0</v>
      </c>
      <c r="W37" s="32">
        <f>Accuracy!$D$19*(1-Accuracy!$D$21)*(1+Accuracy!$D$23*('Resistor Network'!I37-25))</f>
        <v>0</v>
      </c>
      <c r="X37" s="32">
        <f t="shared" si="3"/>
        <v>0</v>
      </c>
      <c r="Y37" s="32">
        <f t="shared" si="4"/>
        <v>0</v>
      </c>
      <c r="AB37" s="40">
        <f t="shared" si="8"/>
        <v>0</v>
      </c>
      <c r="AC37" s="40" t="e">
        <f t="shared" si="6"/>
        <v>#NUM!</v>
      </c>
      <c r="AD37" s="40" t="e">
        <f t="shared" si="7"/>
        <v>#NUM!</v>
      </c>
      <c r="AE37" s="40"/>
      <c r="AF37" s="40"/>
      <c r="AH37" s="36"/>
      <c r="AI37" s="45"/>
      <c r="AJ37" s="36"/>
      <c r="AL37" s="32"/>
      <c r="AM37" s="32"/>
      <c r="AN37" s="32"/>
      <c r="AP37" s="40"/>
    </row>
    <row r="38" spans="3:42">
      <c r="C38" s="8">
        <f>Accuracy!F37</f>
        <v>0</v>
      </c>
      <c r="D38" s="8">
        <f>Accuracy!G37</f>
        <v>0</v>
      </c>
      <c r="E38" s="38" t="e">
        <f>Thermistor!T38</f>
        <v>#NUM!</v>
      </c>
      <c r="F38" s="38" t="e">
        <f>Thermistor!U38</f>
        <v>#NUM!</v>
      </c>
      <c r="G38" s="39"/>
      <c r="H38" s="39">
        <v>33</v>
      </c>
      <c r="I38" s="39">
        <f t="shared" si="0"/>
        <v>4</v>
      </c>
      <c r="K38">
        <f>Accuracy!$D$12</f>
        <v>18000</v>
      </c>
      <c r="L38" s="32">
        <f>Accuracy!$D$12*(1-Accuracy!$D$14)*(1-Accuracy!$D$16*('Resistor Network'!I38-25))</f>
        <v>17820</v>
      </c>
      <c r="M38" s="32">
        <f>Accuracy!$D$12*(1-Accuracy!$D$14)*(1+Accuracy!$D$16*('Resistor Network'!I38-25))</f>
        <v>17820</v>
      </c>
      <c r="N38" s="32">
        <f>Accuracy!$D$12*(1+Accuracy!$D$14)*(1-Accuracy!$D$16*('Resistor Network'!I38-25))</f>
        <v>18180</v>
      </c>
      <c r="O38" s="32">
        <f>Accuracy!$D$12*(1+Accuracy!$D$14)*(1+Accuracy!$D$16*('Resistor Network'!I38-25))</f>
        <v>18180</v>
      </c>
      <c r="P38" s="32">
        <f t="shared" si="1"/>
        <v>17820</v>
      </c>
      <c r="Q38" s="32">
        <f t="shared" si="2"/>
        <v>18180</v>
      </c>
      <c r="S38">
        <f>Accuracy!$D$19</f>
        <v>0</v>
      </c>
      <c r="T38" s="32">
        <f>Accuracy!$D$19*(1-Accuracy!$D$21)*(1-Accuracy!$D$23*('Resistor Network'!I38-25))</f>
        <v>0</v>
      </c>
      <c r="U38" s="32">
        <f>Accuracy!$D$19*(1-Accuracy!$D$21)*(1+Accuracy!$D$23*('Resistor Network'!I38-25))</f>
        <v>0</v>
      </c>
      <c r="V38" s="32">
        <f>Accuracy!$D$19*(1+Accuracy!$D$21)*(1-Accuracy!$D$23*('Resistor Network'!I38-25))</f>
        <v>0</v>
      </c>
      <c r="W38" s="32">
        <f>Accuracy!$D$19*(1-Accuracy!$D$21)*(1+Accuracy!$D$23*('Resistor Network'!I38-25))</f>
        <v>0</v>
      </c>
      <c r="X38" s="32">
        <f t="shared" si="3"/>
        <v>0</v>
      </c>
      <c r="Y38" s="32">
        <f t="shared" si="4"/>
        <v>0</v>
      </c>
      <c r="AB38" s="40">
        <f t="shared" si="8"/>
        <v>0</v>
      </c>
      <c r="AC38" s="40" t="e">
        <f t="shared" si="6"/>
        <v>#NUM!</v>
      </c>
      <c r="AD38" s="40" t="e">
        <f t="shared" si="7"/>
        <v>#NUM!</v>
      </c>
      <c r="AE38" s="40"/>
      <c r="AF38" s="40"/>
      <c r="AH38" s="36"/>
      <c r="AI38" s="45"/>
      <c r="AJ38" s="36"/>
      <c r="AL38" s="32"/>
      <c r="AM38" s="32"/>
      <c r="AN38" s="32"/>
      <c r="AP38" s="40"/>
    </row>
    <row r="39" spans="3:42">
      <c r="C39" s="8">
        <f>Accuracy!F38</f>
        <v>0</v>
      </c>
      <c r="D39" s="8">
        <f>Accuracy!G38</f>
        <v>0</v>
      </c>
      <c r="E39" s="38" t="e">
        <f>Thermistor!T39</f>
        <v>#NUM!</v>
      </c>
      <c r="F39" s="38" t="e">
        <f>Thermistor!U39</f>
        <v>#NUM!</v>
      </c>
      <c r="G39" s="39"/>
      <c r="H39" s="39">
        <v>34</v>
      </c>
      <c r="I39" s="39">
        <f t="shared" si="0"/>
        <v>5.33333333333333</v>
      </c>
      <c r="K39">
        <f>Accuracy!$D$12</f>
        <v>18000</v>
      </c>
      <c r="L39" s="32">
        <f>Accuracy!$D$12*(1-Accuracy!$D$14)*(1-Accuracy!$D$16*('Resistor Network'!I39-25))</f>
        <v>17820</v>
      </c>
      <c r="M39" s="32">
        <f>Accuracy!$D$12*(1-Accuracy!$D$14)*(1+Accuracy!$D$16*('Resistor Network'!I39-25))</f>
        <v>17820</v>
      </c>
      <c r="N39" s="32">
        <f>Accuracy!$D$12*(1+Accuracy!$D$14)*(1-Accuracy!$D$16*('Resistor Network'!I39-25))</f>
        <v>18180</v>
      </c>
      <c r="O39" s="32">
        <f>Accuracy!$D$12*(1+Accuracy!$D$14)*(1+Accuracy!$D$16*('Resistor Network'!I39-25))</f>
        <v>18180</v>
      </c>
      <c r="P39" s="32">
        <f t="shared" si="1"/>
        <v>17820</v>
      </c>
      <c r="Q39" s="32">
        <f t="shared" si="2"/>
        <v>18180</v>
      </c>
      <c r="S39">
        <f>Accuracy!$D$19</f>
        <v>0</v>
      </c>
      <c r="T39" s="32">
        <f>Accuracy!$D$19*(1-Accuracy!$D$21)*(1-Accuracy!$D$23*('Resistor Network'!I39-25))</f>
        <v>0</v>
      </c>
      <c r="U39" s="32">
        <f>Accuracy!$D$19*(1-Accuracy!$D$21)*(1+Accuracy!$D$23*('Resistor Network'!I39-25))</f>
        <v>0</v>
      </c>
      <c r="V39" s="32">
        <f>Accuracy!$D$19*(1+Accuracy!$D$21)*(1-Accuracy!$D$23*('Resistor Network'!I39-25))</f>
        <v>0</v>
      </c>
      <c r="W39" s="32">
        <f>Accuracy!$D$19*(1-Accuracy!$D$21)*(1+Accuracy!$D$23*('Resistor Network'!I39-25))</f>
        <v>0</v>
      </c>
      <c r="X39" s="32">
        <f t="shared" si="3"/>
        <v>0</v>
      </c>
      <c r="Y39" s="32">
        <f t="shared" si="4"/>
        <v>0</v>
      </c>
      <c r="AB39" s="40">
        <f t="shared" si="8"/>
        <v>0</v>
      </c>
      <c r="AC39" s="40" t="e">
        <f t="shared" si="6"/>
        <v>#NUM!</v>
      </c>
      <c r="AD39" s="40" t="e">
        <f t="shared" si="7"/>
        <v>#NUM!</v>
      </c>
      <c r="AE39" s="40"/>
      <c r="AF39" s="40"/>
      <c r="AH39" s="36"/>
      <c r="AI39" s="45"/>
      <c r="AJ39" s="36"/>
      <c r="AL39" s="32"/>
      <c r="AM39" s="32"/>
      <c r="AN39" s="32"/>
      <c r="AP39" s="40"/>
    </row>
    <row r="40" spans="3:42">
      <c r="C40" s="8">
        <f>Accuracy!F39</f>
        <v>0</v>
      </c>
      <c r="D40" s="8">
        <f>Accuracy!G39</f>
        <v>0</v>
      </c>
      <c r="E40" s="38" t="e">
        <f>Thermistor!T40</f>
        <v>#NUM!</v>
      </c>
      <c r="F40" s="38" t="e">
        <f>Thermistor!U40</f>
        <v>#NUM!</v>
      </c>
      <c r="G40" s="39"/>
      <c r="H40" s="39">
        <v>35</v>
      </c>
      <c r="I40" s="39">
        <f t="shared" si="0"/>
        <v>6.66666666666666</v>
      </c>
      <c r="K40">
        <f>Accuracy!$D$12</f>
        <v>18000</v>
      </c>
      <c r="L40" s="32">
        <f>Accuracy!$D$12*(1-Accuracy!$D$14)*(1-Accuracy!$D$16*('Resistor Network'!I40-25))</f>
        <v>17820</v>
      </c>
      <c r="M40" s="32">
        <f>Accuracy!$D$12*(1-Accuracy!$D$14)*(1+Accuracy!$D$16*('Resistor Network'!I40-25))</f>
        <v>17820</v>
      </c>
      <c r="N40" s="32">
        <f>Accuracy!$D$12*(1+Accuracy!$D$14)*(1-Accuracy!$D$16*('Resistor Network'!I40-25))</f>
        <v>18180</v>
      </c>
      <c r="O40" s="32">
        <f>Accuracy!$D$12*(1+Accuracy!$D$14)*(1+Accuracy!$D$16*('Resistor Network'!I40-25))</f>
        <v>18180</v>
      </c>
      <c r="P40" s="32">
        <f t="shared" si="1"/>
        <v>17820</v>
      </c>
      <c r="Q40" s="32">
        <f t="shared" si="2"/>
        <v>18180</v>
      </c>
      <c r="S40">
        <f>Accuracy!$D$19</f>
        <v>0</v>
      </c>
      <c r="T40" s="32">
        <f>Accuracy!$D$19*(1-Accuracy!$D$21)*(1-Accuracy!$D$23*('Resistor Network'!I40-25))</f>
        <v>0</v>
      </c>
      <c r="U40" s="32">
        <f>Accuracy!$D$19*(1-Accuracy!$D$21)*(1+Accuracy!$D$23*('Resistor Network'!I40-25))</f>
        <v>0</v>
      </c>
      <c r="V40" s="32">
        <f>Accuracy!$D$19*(1+Accuracy!$D$21)*(1-Accuracy!$D$23*('Resistor Network'!I40-25))</f>
        <v>0</v>
      </c>
      <c r="W40" s="32">
        <f>Accuracy!$D$19*(1-Accuracy!$D$21)*(1+Accuracy!$D$23*('Resistor Network'!I40-25))</f>
        <v>0</v>
      </c>
      <c r="X40" s="32">
        <f t="shared" si="3"/>
        <v>0</v>
      </c>
      <c r="Y40" s="32">
        <f t="shared" si="4"/>
        <v>0</v>
      </c>
      <c r="AB40" s="40">
        <f t="shared" si="8"/>
        <v>0</v>
      </c>
      <c r="AC40" s="40" t="e">
        <f t="shared" si="6"/>
        <v>#NUM!</v>
      </c>
      <c r="AD40" s="40" t="e">
        <f t="shared" si="7"/>
        <v>#NUM!</v>
      </c>
      <c r="AE40" s="40"/>
      <c r="AF40" s="40"/>
      <c r="AH40" s="36"/>
      <c r="AI40" s="45"/>
      <c r="AJ40" s="36"/>
      <c r="AL40" s="32"/>
      <c r="AM40" s="32"/>
      <c r="AN40" s="32"/>
      <c r="AP40" s="40"/>
    </row>
    <row r="41" spans="8:9">
      <c r="H41" s="39"/>
      <c r="I41" s="39"/>
    </row>
    <row r="42" spans="7:9">
      <c r="G42" t="s">
        <v>82</v>
      </c>
      <c r="I42">
        <f>C5</f>
        <v>-40</v>
      </c>
    </row>
    <row r="43" spans="7:45">
      <c r="G43" t="s">
        <v>83</v>
      </c>
      <c r="I43" s="17">
        <f>C40</f>
        <v>0</v>
      </c>
      <c r="AA43" t="s">
        <v>84</v>
      </c>
      <c r="AB43" t="s">
        <v>85</v>
      </c>
      <c r="AC43" t="s">
        <v>86</v>
      </c>
      <c r="AS43" s="17"/>
    </row>
    <row r="44" spans="7:45">
      <c r="G44" t="s">
        <v>87</v>
      </c>
      <c r="I44">
        <f>(I43-I42)/30</f>
        <v>1.33333333333333</v>
      </c>
      <c r="AA44" s="8">
        <f>Accuracy!D3</f>
        <v>-40</v>
      </c>
      <c r="AB44">
        <f>LOOKUP(AA44,C5:C40,AB5:AB40)</f>
        <v>0.912832929782082</v>
      </c>
      <c r="AC44" t="s">
        <v>88</v>
      </c>
      <c r="AD44">
        <f>(AB45-AB44)/(AA45-AA44)</f>
        <v>-0.00581629311627656</v>
      </c>
      <c r="AS44" s="17"/>
    </row>
    <row r="45" spans="27:30">
      <c r="AA45" s="8">
        <f>Accuracy!D4</f>
        <v>110</v>
      </c>
      <c r="AB45">
        <f>LOOKUP(AA45,C5:C40,AB5:AB40)</f>
        <v>0.0403889623405979</v>
      </c>
      <c r="AC45" t="s">
        <v>89</v>
      </c>
      <c r="AD45">
        <f>AB44-AD44*AA44</f>
        <v>0.68018120513102</v>
      </c>
    </row>
    <row r="50" spans="29:31">
      <c r="AC50" s="41"/>
      <c r="AD50" s="42"/>
      <c r="AE50" s="42"/>
    </row>
    <row r="51" spans="29:31">
      <c r="AC51" s="42"/>
      <c r="AD51" s="42"/>
      <c r="AE51" s="42"/>
    </row>
    <row r="52" spans="29:31">
      <c r="AC52" s="42"/>
      <c r="AD52" s="43"/>
      <c r="AE52" s="43"/>
    </row>
    <row r="53" spans="29:31">
      <c r="AC53" s="42"/>
      <c r="AD53" s="43"/>
      <c r="AE53" s="43"/>
    </row>
    <row r="54" spans="29:31">
      <c r="AC54" s="42"/>
      <c r="AD54" s="43"/>
      <c r="AE54" s="43"/>
    </row>
    <row r="55" spans="29:31">
      <c r="AC55" s="42"/>
      <c r="AD55" s="43"/>
      <c r="AE55" s="43"/>
    </row>
    <row r="56" spans="29:31">
      <c r="AC56" s="44"/>
      <c r="AD56" s="42"/>
      <c r="AE56" s="42"/>
    </row>
    <row r="57" spans="29:31">
      <c r="AC57" s="44"/>
      <c r="AD57" s="43"/>
      <c r="AE57" s="17"/>
    </row>
    <row r="61" spans="33:35">
      <c r="AG61" s="41"/>
      <c r="AH61" s="46"/>
      <c r="AI61" s="46"/>
    </row>
    <row r="62" spans="33:35">
      <c r="AG62" s="46"/>
      <c r="AH62" s="46"/>
      <c r="AI62" s="46"/>
    </row>
    <row r="63" spans="33:35">
      <c r="AG63" s="46"/>
      <c r="AH63" s="47"/>
      <c r="AI63" s="47"/>
    </row>
    <row r="64" spans="33:35">
      <c r="AG64" s="46"/>
      <c r="AH64" s="47"/>
      <c r="AI64" s="47"/>
    </row>
  </sheetData>
  <pageMargins left="0.75" right="0.75" top="1" bottom="1" header="0.5" footer="0.5"/>
  <pageSetup paperSize="1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AX47"/>
  <sheetViews>
    <sheetView zoomScale="75" zoomScaleNormal="75" workbookViewId="0">
      <selection activeCell="I20" sqref="I20"/>
    </sheetView>
  </sheetViews>
  <sheetFormatPr defaultColWidth="9" defaultRowHeight="13.2"/>
  <cols>
    <col min="16" max="17" width="8.28703703703704" customWidth="1"/>
    <col min="18" max="18" width="13.1388888888889" customWidth="1"/>
    <col min="28" max="28" width="10.5740740740741" customWidth="1"/>
    <col min="30" max="30" width="9.57407407407407" customWidth="1"/>
  </cols>
  <sheetData>
    <row r="1" spans="10:12">
      <c r="J1" t="s">
        <v>90</v>
      </c>
      <c r="K1" t="s">
        <v>91</v>
      </c>
      <c r="L1" t="s">
        <v>92</v>
      </c>
    </row>
    <row r="2" spans="10:12">
      <c r="J2" s="33">
        <v>1.8</v>
      </c>
      <c r="K2" s="33">
        <v>15</v>
      </c>
      <c r="L2">
        <f>J2/2^K2</f>
        <v>5.4931640625e-5</v>
      </c>
    </row>
    <row r="3" spans="10:10">
      <c r="J3" t="s">
        <v>93</v>
      </c>
    </row>
    <row r="4" spans="2:48">
      <c r="B4" s="8" t="s">
        <v>94</v>
      </c>
      <c r="C4" s="8" t="s">
        <v>42</v>
      </c>
      <c r="D4" s="8" t="str">
        <f>'Resistor Network'!AB4</f>
        <v>Vout/Vin</v>
      </c>
      <c r="E4" s="8" t="str">
        <f>'Resistor Network'!AC4</f>
        <v>Vout/Vin min</v>
      </c>
      <c r="F4" s="8" t="str">
        <f>'Resistor Network'!AD4</f>
        <v>Vout/Vin max</v>
      </c>
      <c r="G4" s="17"/>
      <c r="H4" s="17" t="s">
        <v>95</v>
      </c>
      <c r="J4" t="s">
        <v>96</v>
      </c>
      <c r="K4" t="s">
        <v>97</v>
      </c>
      <c r="L4" t="s">
        <v>98</v>
      </c>
      <c r="AD4" t="s">
        <v>99</v>
      </c>
      <c r="AH4" t="s">
        <v>100</v>
      </c>
      <c r="AK4" t="s">
        <v>101</v>
      </c>
      <c r="AL4" t="s">
        <v>102</v>
      </c>
      <c r="AN4" t="s">
        <v>103</v>
      </c>
      <c r="AR4" t="s">
        <v>100</v>
      </c>
      <c r="AU4" t="s">
        <v>101</v>
      </c>
      <c r="AV4" t="s">
        <v>102</v>
      </c>
    </row>
    <row r="5" spans="2:50">
      <c r="B5" s="8">
        <f>Accuracy!D26</f>
        <v>25</v>
      </c>
      <c r="C5" s="8">
        <f>Accuracy!F4</f>
        <v>-40</v>
      </c>
      <c r="D5" s="8">
        <f>'Resistor Network'!AB5</f>
        <v>0.912832929782082</v>
      </c>
      <c r="E5" s="8">
        <f>'Resistor Network'!AC5</f>
        <v>0.908824058139175</v>
      </c>
      <c r="F5" s="8">
        <f>'Resistor Network'!AD5</f>
        <v>0.91668169663177</v>
      </c>
      <c r="G5" s="17"/>
      <c r="H5" t="str">
        <f>ADDRESS(MATCH($B$5,$C$5:$C$40,0)+4,3)</f>
        <v>$C$18</v>
      </c>
      <c r="J5">
        <f t="shared" ref="J5:L5" si="0">ROUND(D5*2^$K$2,0)</f>
        <v>29912</v>
      </c>
      <c r="K5">
        <f t="shared" si="0"/>
        <v>29780</v>
      </c>
      <c r="L5">
        <f t="shared" si="0"/>
        <v>30038</v>
      </c>
      <c r="N5" s="29">
        <f t="shared" ref="N5:P5" si="1">J5/2^15</f>
        <v>0.912841796875</v>
      </c>
      <c r="O5" s="29">
        <f t="shared" si="1"/>
        <v>0.9088134765625</v>
      </c>
      <c r="P5" s="29">
        <f t="shared" si="1"/>
        <v>0.91668701171875</v>
      </c>
      <c r="Q5" s="29"/>
      <c r="R5" s="29">
        <f ca="1" t="shared" ref="R5:T5" si="2">N5/($R$42*N5^4+$R$43*N5^3+$R$44*N5^2+$R$45*N5+$R$46)*2^14</f>
        <v>0.858275581481983</v>
      </c>
      <c r="S5" s="29">
        <f ca="1" t="shared" si="2"/>
        <v>0.855740205675937</v>
      </c>
      <c r="T5" s="29">
        <f ca="1" t="shared" si="2"/>
        <v>0.86073104996247</v>
      </c>
      <c r="V5" s="29">
        <f ca="1" t="shared" ref="V5:X5" si="3">R5</f>
        <v>0.858275581481983</v>
      </c>
      <c r="W5" s="29">
        <f ca="1" t="shared" si="3"/>
        <v>0.855740205675937</v>
      </c>
      <c r="X5" s="29">
        <f ca="1" t="shared" si="3"/>
        <v>0.86073104996247</v>
      </c>
      <c r="Z5">
        <f ca="1" t="shared" ref="Z5:AB5" si="4">$Z$43*V5^3+$Z$44*V5^2+$Z$45*V5+$Z$46</f>
        <v>2337.25368959347</v>
      </c>
      <c r="AA5">
        <f ca="1" t="shared" si="4"/>
        <v>2344.99964523154</v>
      </c>
      <c r="AB5">
        <f ca="1" t="shared" si="4"/>
        <v>2329.75223224556</v>
      </c>
      <c r="AC5" s="29"/>
      <c r="AD5" s="32">
        <f ca="1" t="shared" ref="AD5:AF5" si="5">ROUND(Z5/10-273.15,1)</f>
        <v>-39.4</v>
      </c>
      <c r="AE5" s="32">
        <f ca="1" t="shared" si="5"/>
        <v>-38.7</v>
      </c>
      <c r="AF5" s="32">
        <f ca="1" t="shared" si="5"/>
        <v>-40.2</v>
      </c>
      <c r="AG5" s="36"/>
      <c r="AH5" s="32">
        <f ca="1">AD5-$C5</f>
        <v>0.600000000000001</v>
      </c>
      <c r="AI5" s="32">
        <f ca="1">AE5-$C5</f>
        <v>1.3</v>
      </c>
      <c r="AJ5" s="32">
        <f ca="1">AF5-$C5</f>
        <v>-0.200000000000003</v>
      </c>
      <c r="AK5" s="29">
        <f ca="1">MINA(AI5:AJ5)</f>
        <v>-0.200000000000003</v>
      </c>
      <c r="AL5" s="29">
        <f ca="1">MAX(AI5:AJ5)</f>
        <v>1.3</v>
      </c>
      <c r="AN5" s="29">
        <f ca="1">AD5-($AD$18-$B$5)</f>
        <v>-39.3</v>
      </c>
      <c r="AO5" s="29">
        <f ca="1">AE5-($AE$18-$B$5)</f>
        <v>-39.2</v>
      </c>
      <c r="AP5" s="29">
        <f ca="1">AF5-($AF$18-$B$5)</f>
        <v>-39.6</v>
      </c>
      <c r="AQ5" s="29"/>
      <c r="AR5" s="32">
        <f ca="1">AN5-$C5</f>
        <v>0.700000000000003</v>
      </c>
      <c r="AS5" s="32">
        <f ca="1" t="shared" ref="AS5:AS35" si="6">AO5-$C5</f>
        <v>0.799999999999997</v>
      </c>
      <c r="AT5" s="32">
        <f ca="1" t="shared" ref="AT5:AT35" si="7">AP5-$C5</f>
        <v>0.399999999999999</v>
      </c>
      <c r="AU5" s="29">
        <f ca="1">MINA(AS5:AT5)</f>
        <v>0.399999999999999</v>
      </c>
      <c r="AV5" s="29">
        <f ca="1">MAX(AS5:AT5)</f>
        <v>0.799999999999997</v>
      </c>
      <c r="AW5" s="29"/>
      <c r="AX5" s="29"/>
    </row>
    <row r="6" spans="3:50">
      <c r="C6" s="8">
        <f>Accuracy!F5</f>
        <v>-35</v>
      </c>
      <c r="D6" s="8">
        <f>'Resistor Network'!AB6</f>
        <v>0.888957433682912</v>
      </c>
      <c r="E6" s="8">
        <f>'Resistor Network'!AC6</f>
        <v>0.884265220826725</v>
      </c>
      <c r="F6" s="8">
        <f>'Resistor Network'!AD6</f>
        <v>0.89348232662648</v>
      </c>
      <c r="G6" s="17"/>
      <c r="H6" s="17"/>
      <c r="J6">
        <f t="shared" ref="J6:J35" si="8">ROUND(D6*2^$K$2,0)</f>
        <v>29129</v>
      </c>
      <c r="K6">
        <f t="shared" ref="K6:K35" si="9">ROUND(E6*2^$K$2,0)</f>
        <v>28976</v>
      </c>
      <c r="L6">
        <f t="shared" ref="L6:L35" si="10">ROUND(F6*2^$K$2,0)</f>
        <v>29278</v>
      </c>
      <c r="N6" s="29">
        <f t="shared" ref="N6:N35" si="11">J6/2^15</f>
        <v>0.888946533203125</v>
      </c>
      <c r="O6" s="29">
        <f t="shared" ref="O6:O35" si="12">K6/2^15</f>
        <v>0.88427734375</v>
      </c>
      <c r="P6" s="29">
        <f t="shared" ref="P6:P35" si="13">L6/2^15</f>
        <v>0.89349365234375</v>
      </c>
      <c r="Q6" s="29"/>
      <c r="R6" s="29">
        <f ca="1" t="shared" ref="R6:R40" si="14">N6/($R$42*N6^4+$R$43*N6^3+$R$44*N6^2+$R$45*N6+$R$46)*2^14</f>
        <v>0.843763013889547</v>
      </c>
      <c r="S6" s="29">
        <f ca="1" t="shared" ref="S6:S34" si="15">O6/($R$42*O6^4+$R$43*O6^3+$R$44*O6^2+$R$45*O6+$R$46)*2^14</f>
        <v>0.841068753522943</v>
      </c>
      <c r="T6" s="29">
        <f ca="1" t="shared" ref="T6:T34" si="16">P6/($R$42*P6^4+$R$43*P6^3+$R$44*P6^2+$R$45*P6+$R$46)*2^14</f>
        <v>0.846429734296335</v>
      </c>
      <c r="V6" s="29">
        <f ca="1" t="shared" ref="V6:V35" si="17">R6</f>
        <v>0.843763013889547</v>
      </c>
      <c r="W6" s="29">
        <f ca="1" t="shared" ref="W6:W35" si="18">S6</f>
        <v>0.841068753522943</v>
      </c>
      <c r="X6" s="29">
        <f ca="1" t="shared" ref="X6:X35" si="19">T6</f>
        <v>0.846429734296335</v>
      </c>
      <c r="Z6">
        <f ca="1" t="shared" ref="Z6:Z35" si="20">$Z$43*V6^3+$Z$44*V6^2+$Z$45*V6+$Z$46</f>
        <v>2381.59688826448</v>
      </c>
      <c r="AA6">
        <f ca="1" t="shared" ref="AA6:AA35" si="21">$Z$43*W6^3+$Z$44*W6^2+$Z$45*W6+$Z$46</f>
        <v>2389.83054544448</v>
      </c>
      <c r="AB6">
        <f ca="1" t="shared" ref="AB6:AB35" si="22">$Z$43*X6^3+$Z$44*X6^2+$Z$45*X6+$Z$46</f>
        <v>2373.44779794522</v>
      </c>
      <c r="AC6" s="29"/>
      <c r="AD6" s="32">
        <f ca="1" t="shared" ref="AD6:AD35" si="23">ROUND(Z6/10-273.15,1)</f>
        <v>-35</v>
      </c>
      <c r="AE6" s="32">
        <f ca="1" t="shared" ref="AE6:AE35" si="24">ROUND(AA6/10-273.15,1)</f>
        <v>-34.2</v>
      </c>
      <c r="AF6" s="32">
        <f ca="1" t="shared" ref="AF6:AF35" si="25">ROUND(AB6/10-273.15,1)</f>
        <v>-35.8</v>
      </c>
      <c r="AG6" s="36"/>
      <c r="AH6" s="32">
        <f ca="1" t="shared" ref="AH6:AH35" si="26">AD6-$C6</f>
        <v>0</v>
      </c>
      <c r="AI6" s="32">
        <f ca="1" t="shared" ref="AI6:AI35" si="27">AE6-$C6</f>
        <v>0.799999999999997</v>
      </c>
      <c r="AJ6" s="32">
        <f ca="1" t="shared" ref="AJ6:AJ35" si="28">AF6-$C6</f>
        <v>-0.799999999999997</v>
      </c>
      <c r="AK6" s="29">
        <f ca="1" t="shared" ref="AK6:AK40" si="29">MINA(AI6:AJ6)</f>
        <v>-0.799999999999997</v>
      </c>
      <c r="AL6" s="29">
        <f ca="1" t="shared" ref="AL6:AL40" si="30">MAX(AI6:AJ6)</f>
        <v>0.799999999999997</v>
      </c>
      <c r="AN6" s="29">
        <f ca="1" t="shared" ref="AN6:AN40" si="31">AD6-($AD$18-$B$5)</f>
        <v>-34.9</v>
      </c>
      <c r="AO6" s="29">
        <f ca="1" t="shared" ref="AO6:AO40" si="32">AE6-($AE$18-$B$5)</f>
        <v>-34.7</v>
      </c>
      <c r="AP6" s="29">
        <f ca="1" t="shared" ref="AP6:AP40" si="33">AF6-($AF$18-$B$5)</f>
        <v>-35.2</v>
      </c>
      <c r="AQ6" s="29"/>
      <c r="AR6" s="32">
        <f ca="1" t="shared" ref="AR6:AR35" si="34">AN6-$C6</f>
        <v>0.100000000000001</v>
      </c>
      <c r="AS6" s="32">
        <f ca="1" t="shared" si="6"/>
        <v>0.299999999999997</v>
      </c>
      <c r="AT6" s="32">
        <f ca="1" t="shared" si="7"/>
        <v>-0.199999999999996</v>
      </c>
      <c r="AU6" s="29">
        <f ca="1" t="shared" ref="AU6:AU40" si="35">MINA(AS6:AT6)</f>
        <v>-0.199999999999996</v>
      </c>
      <c r="AV6" s="29">
        <f ca="1" t="shared" ref="AV6:AV40" si="36">MAX(AS6:AT6)</f>
        <v>0.299999999999997</v>
      </c>
      <c r="AW6" s="29"/>
      <c r="AX6" s="29"/>
    </row>
    <row r="7" spans="3:50">
      <c r="C7" s="8">
        <f>Accuracy!F6</f>
        <v>-30</v>
      </c>
      <c r="D7" s="8">
        <f>'Resistor Network'!AB7</f>
        <v>0.860788863109049</v>
      </c>
      <c r="E7" s="8">
        <f>'Resistor Network'!AC7</f>
        <v>0.855420099337532</v>
      </c>
      <c r="F7" s="8">
        <f>'Resistor Network'!AD7</f>
        <v>0.865989497685614</v>
      </c>
      <c r="G7" s="17"/>
      <c r="H7" s="17"/>
      <c r="J7">
        <f t="shared" si="8"/>
        <v>28206</v>
      </c>
      <c r="K7">
        <f t="shared" si="9"/>
        <v>28030</v>
      </c>
      <c r="L7">
        <f t="shared" si="10"/>
        <v>28377</v>
      </c>
      <c r="N7" s="29">
        <f t="shared" si="11"/>
        <v>0.86077880859375</v>
      </c>
      <c r="O7" s="29">
        <f t="shared" si="12"/>
        <v>0.85540771484375</v>
      </c>
      <c r="P7" s="29">
        <f t="shared" si="13"/>
        <v>0.865997314453125</v>
      </c>
      <c r="Q7" s="29"/>
      <c r="R7" s="29">
        <f ca="1" t="shared" si="14"/>
        <v>0.828147778702494</v>
      </c>
      <c r="S7" s="29">
        <f ca="1" t="shared" si="15"/>
        <v>0.82533500661905</v>
      </c>
      <c r="T7" s="29">
        <f ca="1" t="shared" si="16"/>
        <v>0.830929058933546</v>
      </c>
      <c r="V7" s="29">
        <f ca="1" t="shared" si="17"/>
        <v>0.828147778702494</v>
      </c>
      <c r="W7" s="29">
        <f ca="1" t="shared" si="18"/>
        <v>0.82533500661905</v>
      </c>
      <c r="X7" s="29">
        <f ca="1" t="shared" si="19"/>
        <v>0.830929058933546</v>
      </c>
      <c r="Z7">
        <f ca="1" t="shared" si="20"/>
        <v>2429.3225901243</v>
      </c>
      <c r="AA7">
        <f ca="1" t="shared" si="21"/>
        <v>2437.92081361113</v>
      </c>
      <c r="AB7">
        <f ca="1" t="shared" si="22"/>
        <v>2420.82104241591</v>
      </c>
      <c r="AC7" s="29"/>
      <c r="AD7" s="32">
        <f ca="1" t="shared" si="23"/>
        <v>-30.2</v>
      </c>
      <c r="AE7" s="32">
        <f ca="1" t="shared" si="24"/>
        <v>-29.4</v>
      </c>
      <c r="AF7" s="32">
        <f ca="1" t="shared" si="25"/>
        <v>-31.1</v>
      </c>
      <c r="AG7" s="36"/>
      <c r="AH7" s="32">
        <f ca="1" t="shared" si="26"/>
        <v>-0.199999999999999</v>
      </c>
      <c r="AI7" s="32">
        <f ca="1" t="shared" si="27"/>
        <v>0.600000000000001</v>
      </c>
      <c r="AJ7" s="32">
        <f ca="1" t="shared" si="28"/>
        <v>-1.1</v>
      </c>
      <c r="AK7" s="29">
        <f ca="1" t="shared" si="29"/>
        <v>-1.1</v>
      </c>
      <c r="AL7" s="29">
        <f ca="1" t="shared" si="30"/>
        <v>0.600000000000001</v>
      </c>
      <c r="AN7" s="29">
        <f ca="1" t="shared" si="31"/>
        <v>-30.1</v>
      </c>
      <c r="AO7" s="29">
        <f ca="1" t="shared" si="32"/>
        <v>-29.9</v>
      </c>
      <c r="AP7" s="29">
        <f ca="1" t="shared" si="33"/>
        <v>-30.5</v>
      </c>
      <c r="AQ7" s="29"/>
      <c r="AR7" s="32">
        <f ca="1" t="shared" si="34"/>
        <v>-0.0999999999999979</v>
      </c>
      <c r="AS7" s="32">
        <f ca="1" t="shared" si="6"/>
        <v>0.100000000000001</v>
      </c>
      <c r="AT7" s="32">
        <f ca="1" t="shared" si="7"/>
        <v>-0.5</v>
      </c>
      <c r="AU7" s="29">
        <f ca="1" t="shared" si="35"/>
        <v>-0.5</v>
      </c>
      <c r="AV7" s="29">
        <f ca="1" t="shared" si="36"/>
        <v>0.100000000000001</v>
      </c>
      <c r="AW7" s="29"/>
      <c r="AX7" s="29"/>
    </row>
    <row r="8" spans="3:50">
      <c r="C8" s="8">
        <f>Accuracy!F7</f>
        <v>-25</v>
      </c>
      <c r="D8" s="8">
        <f>'Resistor Network'!AB8</f>
        <v>0.827635736857225</v>
      </c>
      <c r="E8" s="8">
        <f>'Resistor Network'!AC8</f>
        <v>0.821624839508976</v>
      </c>
      <c r="F8" s="8">
        <f>'Resistor Network'!AD8</f>
        <v>0.833485129606528</v>
      </c>
      <c r="G8" s="17"/>
      <c r="H8" s="17"/>
      <c r="J8">
        <f t="shared" si="8"/>
        <v>27120</v>
      </c>
      <c r="K8">
        <f t="shared" si="9"/>
        <v>26923</v>
      </c>
      <c r="L8">
        <f t="shared" si="10"/>
        <v>27312</v>
      </c>
      <c r="N8" s="29">
        <f t="shared" si="11"/>
        <v>0.82763671875</v>
      </c>
      <c r="O8" s="29">
        <f t="shared" si="12"/>
        <v>0.821624755859375</v>
      </c>
      <c r="P8" s="29">
        <f t="shared" si="13"/>
        <v>0.83349609375</v>
      </c>
      <c r="Q8" s="29"/>
      <c r="R8" s="29">
        <f ca="1" t="shared" si="14"/>
        <v>0.81154299484274</v>
      </c>
      <c r="S8" s="29">
        <f ca="1" t="shared" si="15"/>
        <v>0.808711269105119</v>
      </c>
      <c r="T8" s="29">
        <f ca="1" t="shared" si="16"/>
        <v>0.814353412482803</v>
      </c>
      <c r="V8" s="29">
        <f ca="1" t="shared" si="17"/>
        <v>0.81154299484274</v>
      </c>
      <c r="W8" s="29">
        <f ca="1" t="shared" si="18"/>
        <v>0.808711269105119</v>
      </c>
      <c r="X8" s="29">
        <f ca="1" t="shared" si="19"/>
        <v>0.814353412482803</v>
      </c>
      <c r="Z8">
        <f ca="1" t="shared" si="20"/>
        <v>2480.08677737625</v>
      </c>
      <c r="AA8">
        <f ca="1" t="shared" si="21"/>
        <v>2488.7453032438</v>
      </c>
      <c r="AB8">
        <f ca="1" t="shared" si="22"/>
        <v>2471.4937895459</v>
      </c>
      <c r="AC8" s="29"/>
      <c r="AD8" s="32">
        <f ca="1" t="shared" si="23"/>
        <v>-25.1</v>
      </c>
      <c r="AE8" s="32">
        <f ca="1" t="shared" si="24"/>
        <v>-24.3</v>
      </c>
      <c r="AF8" s="32">
        <f ca="1" t="shared" si="25"/>
        <v>-26</v>
      </c>
      <c r="AG8" s="36"/>
      <c r="AH8" s="32">
        <f ca="1" t="shared" si="26"/>
        <v>-0.100000000000001</v>
      </c>
      <c r="AI8" s="32">
        <f ca="1" t="shared" si="27"/>
        <v>0.699999999999999</v>
      </c>
      <c r="AJ8" s="32">
        <f ca="1" t="shared" si="28"/>
        <v>-1</v>
      </c>
      <c r="AK8" s="29">
        <f ca="1" t="shared" si="29"/>
        <v>-1</v>
      </c>
      <c r="AL8" s="29">
        <f ca="1" t="shared" si="30"/>
        <v>0.699999999999999</v>
      </c>
      <c r="AN8" s="29">
        <f ca="1" t="shared" si="31"/>
        <v>-25</v>
      </c>
      <c r="AO8" s="29">
        <f ca="1" t="shared" si="32"/>
        <v>-24.8</v>
      </c>
      <c r="AP8" s="29">
        <f ca="1" t="shared" si="33"/>
        <v>-25.4</v>
      </c>
      <c r="AQ8" s="29"/>
      <c r="AR8" s="32">
        <f ca="1" t="shared" si="34"/>
        <v>0</v>
      </c>
      <c r="AS8" s="32">
        <f ca="1" t="shared" si="6"/>
        <v>0.199999999999999</v>
      </c>
      <c r="AT8" s="32">
        <f ca="1" t="shared" si="7"/>
        <v>-0.399999999999999</v>
      </c>
      <c r="AU8" s="29">
        <f ca="1" t="shared" si="35"/>
        <v>-0.399999999999999</v>
      </c>
      <c r="AV8" s="29">
        <f ca="1" t="shared" si="36"/>
        <v>0.199999999999999</v>
      </c>
      <c r="AW8" s="29"/>
      <c r="AX8" s="29"/>
    </row>
    <row r="9" spans="3:50">
      <c r="C9" s="8">
        <f>Accuracy!F8</f>
        <v>-20</v>
      </c>
      <c r="D9" s="8">
        <f>'Resistor Network'!AB9</f>
        <v>0.790136411332634</v>
      </c>
      <c r="E9" s="8">
        <f>'Resistor Network'!AC9</f>
        <v>0.783573157426615</v>
      </c>
      <c r="F9" s="8">
        <f>'Resistor Network'!AD9</f>
        <v>0.796552308612999</v>
      </c>
      <c r="G9" s="17"/>
      <c r="H9" s="17"/>
      <c r="J9">
        <f t="shared" si="8"/>
        <v>25891</v>
      </c>
      <c r="K9">
        <f t="shared" si="9"/>
        <v>25676</v>
      </c>
      <c r="L9">
        <f t="shared" si="10"/>
        <v>26101</v>
      </c>
      <c r="N9" s="29">
        <f t="shared" si="11"/>
        <v>0.790130615234375</v>
      </c>
      <c r="O9" s="29">
        <f t="shared" si="12"/>
        <v>0.7835693359375</v>
      </c>
      <c r="P9" s="29">
        <f t="shared" si="13"/>
        <v>0.796539306640625</v>
      </c>
      <c r="Q9" s="29"/>
      <c r="R9" s="29">
        <f ca="1" t="shared" si="14"/>
        <v>0.794667404835104</v>
      </c>
      <c r="S9" s="29">
        <f ca="1" t="shared" si="15"/>
        <v>0.791894757185662</v>
      </c>
      <c r="T9" s="29">
        <f ca="1" t="shared" si="16"/>
        <v>0.797424005722849</v>
      </c>
      <c r="V9" s="29">
        <f ca="1" t="shared" si="17"/>
        <v>0.794667404835104</v>
      </c>
      <c r="W9" s="29">
        <f ca="1" t="shared" si="18"/>
        <v>0.791894757185662</v>
      </c>
      <c r="X9" s="29">
        <f ca="1" t="shared" si="19"/>
        <v>0.797424005722849</v>
      </c>
      <c r="Z9">
        <f ca="1" t="shared" si="20"/>
        <v>2531.69257121439</v>
      </c>
      <c r="AA9">
        <f ca="1" t="shared" si="21"/>
        <v>2540.17260484632</v>
      </c>
      <c r="AB9">
        <f ca="1" t="shared" si="22"/>
        <v>2523.2619532357</v>
      </c>
      <c r="AC9" s="29"/>
      <c r="AD9" s="32">
        <f ca="1" t="shared" si="23"/>
        <v>-20</v>
      </c>
      <c r="AE9" s="32">
        <f ca="1" t="shared" si="24"/>
        <v>-19.1</v>
      </c>
      <c r="AF9" s="32">
        <f ca="1" t="shared" si="25"/>
        <v>-20.8</v>
      </c>
      <c r="AG9" s="36"/>
      <c r="AH9" s="32">
        <f ca="1" t="shared" si="26"/>
        <v>0</v>
      </c>
      <c r="AI9" s="32">
        <f ca="1" t="shared" si="27"/>
        <v>0.899999999999999</v>
      </c>
      <c r="AJ9" s="32">
        <f ca="1" t="shared" si="28"/>
        <v>-0.800000000000001</v>
      </c>
      <c r="AK9" s="29">
        <f ca="1" t="shared" si="29"/>
        <v>-0.800000000000001</v>
      </c>
      <c r="AL9" s="29">
        <f ca="1" t="shared" si="30"/>
        <v>0.899999999999999</v>
      </c>
      <c r="AN9" s="29">
        <f ca="1" t="shared" si="31"/>
        <v>-19.9</v>
      </c>
      <c r="AO9" s="29">
        <f ca="1" t="shared" si="32"/>
        <v>-19.6</v>
      </c>
      <c r="AP9" s="29">
        <f ca="1" t="shared" si="33"/>
        <v>-20.2</v>
      </c>
      <c r="AQ9" s="29"/>
      <c r="AR9" s="32">
        <f ca="1" t="shared" si="34"/>
        <v>0.100000000000001</v>
      </c>
      <c r="AS9" s="32">
        <f ca="1" t="shared" si="6"/>
        <v>0.399999999999999</v>
      </c>
      <c r="AT9" s="32">
        <f ca="1" t="shared" si="7"/>
        <v>-0.199999999999999</v>
      </c>
      <c r="AU9" s="29">
        <f ca="1" t="shared" si="35"/>
        <v>-0.199999999999999</v>
      </c>
      <c r="AV9" s="29">
        <f ca="1" t="shared" si="36"/>
        <v>0.399999999999999</v>
      </c>
      <c r="AW9" s="29"/>
      <c r="AX9" s="29"/>
    </row>
    <row r="10" spans="3:50">
      <c r="C10" s="8">
        <f>Accuracy!F9</f>
        <v>-15</v>
      </c>
      <c r="D10" s="8">
        <f>'Resistor Network'!AB10</f>
        <v>0.74793446296037</v>
      </c>
      <c r="E10" s="8">
        <f>'Resistor Network'!AC10</f>
        <v>0.740942204607776</v>
      </c>
      <c r="F10" s="8">
        <f>'Resistor Network'!AD10</f>
        <v>0.754800448393711</v>
      </c>
      <c r="G10" s="17"/>
      <c r="H10" s="17"/>
      <c r="J10">
        <f t="shared" si="8"/>
        <v>24508</v>
      </c>
      <c r="K10">
        <f t="shared" si="9"/>
        <v>24279</v>
      </c>
      <c r="L10">
        <f t="shared" si="10"/>
        <v>24733</v>
      </c>
      <c r="N10" s="29">
        <f t="shared" si="11"/>
        <v>0.7479248046875</v>
      </c>
      <c r="O10" s="29">
        <f t="shared" si="12"/>
        <v>0.740936279296875</v>
      </c>
      <c r="P10" s="29">
        <f t="shared" si="13"/>
        <v>0.754791259765625</v>
      </c>
      <c r="Q10" s="29"/>
      <c r="R10" s="29">
        <f ca="1" t="shared" si="14"/>
        <v>0.777625568160735</v>
      </c>
      <c r="S10" s="29">
        <f ca="1" t="shared" si="15"/>
        <v>0.774969219161075</v>
      </c>
      <c r="T10" s="29">
        <f ca="1" t="shared" si="16"/>
        <v>0.780277769814596</v>
      </c>
      <c r="V10" s="29">
        <f ca="1" t="shared" si="17"/>
        <v>0.777625568160735</v>
      </c>
      <c r="W10" s="29">
        <f ca="1" t="shared" si="18"/>
        <v>0.774969219161075</v>
      </c>
      <c r="X10" s="29">
        <f ca="1" t="shared" si="19"/>
        <v>0.780277769814596</v>
      </c>
      <c r="Z10">
        <f ca="1" t="shared" si="20"/>
        <v>2583.81953605894</v>
      </c>
      <c r="AA10">
        <f ca="1" t="shared" si="21"/>
        <v>2591.94575916515</v>
      </c>
      <c r="AB10">
        <f ca="1" t="shared" si="22"/>
        <v>2575.70628170295</v>
      </c>
      <c r="AC10" s="29"/>
      <c r="AD10" s="32">
        <f ca="1" t="shared" si="23"/>
        <v>-14.8</v>
      </c>
      <c r="AE10" s="32">
        <f ca="1" t="shared" si="24"/>
        <v>-14</v>
      </c>
      <c r="AF10" s="32">
        <f ca="1" t="shared" si="25"/>
        <v>-15.6</v>
      </c>
      <c r="AG10" s="36"/>
      <c r="AH10" s="32">
        <f ca="1" t="shared" si="26"/>
        <v>0.199999999999999</v>
      </c>
      <c r="AI10" s="32">
        <f ca="1" t="shared" si="27"/>
        <v>1</v>
      </c>
      <c r="AJ10" s="32">
        <f ca="1" t="shared" si="28"/>
        <v>-0.6</v>
      </c>
      <c r="AK10" s="29">
        <f ca="1" t="shared" si="29"/>
        <v>-0.6</v>
      </c>
      <c r="AL10" s="29">
        <f ca="1" t="shared" si="30"/>
        <v>1</v>
      </c>
      <c r="AN10" s="29">
        <f ca="1" t="shared" si="31"/>
        <v>-14.7</v>
      </c>
      <c r="AO10" s="29">
        <f ca="1" t="shared" si="32"/>
        <v>-14.5</v>
      </c>
      <c r="AP10" s="29">
        <f ca="1" t="shared" si="33"/>
        <v>-15</v>
      </c>
      <c r="AQ10" s="29"/>
      <c r="AR10" s="32">
        <f ca="1" t="shared" si="34"/>
        <v>0.300000000000001</v>
      </c>
      <c r="AS10" s="32">
        <f ca="1" t="shared" si="6"/>
        <v>0.5</v>
      </c>
      <c r="AT10" s="32">
        <f ca="1" t="shared" si="7"/>
        <v>0</v>
      </c>
      <c r="AU10" s="29">
        <f ca="1" t="shared" si="35"/>
        <v>0</v>
      </c>
      <c r="AV10" s="29">
        <f ca="1" t="shared" si="36"/>
        <v>0.5</v>
      </c>
      <c r="AW10" s="29"/>
      <c r="AX10" s="29"/>
    </row>
    <row r="11" spans="3:50">
      <c r="C11" s="8">
        <f>Accuracy!F10</f>
        <v>-10</v>
      </c>
      <c r="D11" s="8">
        <f>'Resistor Network'!AB11</f>
        <v>0.702331734744501</v>
      </c>
      <c r="E11" s="8">
        <f>'Resistor Network'!AC11</f>
        <v>0.695077009777471</v>
      </c>
      <c r="F11" s="8">
        <f>'Resistor Network'!AD11</f>
        <v>0.709485996980649</v>
      </c>
      <c r="G11" s="17"/>
      <c r="H11" s="17"/>
      <c r="J11">
        <f t="shared" si="8"/>
        <v>23014</v>
      </c>
      <c r="K11">
        <f t="shared" si="9"/>
        <v>22776</v>
      </c>
      <c r="L11">
        <f t="shared" si="10"/>
        <v>23248</v>
      </c>
      <c r="N11" s="29">
        <f t="shared" si="11"/>
        <v>0.70233154296875</v>
      </c>
      <c r="O11" s="29">
        <f t="shared" si="12"/>
        <v>0.695068359375</v>
      </c>
      <c r="P11" s="29">
        <f t="shared" si="13"/>
        <v>0.70947265625</v>
      </c>
      <c r="Q11" s="29"/>
      <c r="R11" s="29">
        <f ca="1" t="shared" si="14"/>
        <v>0.760987100890474</v>
      </c>
      <c r="S11" s="29">
        <f ca="1" t="shared" si="15"/>
        <v>0.758470990321877</v>
      </c>
      <c r="T11" s="29">
        <f ca="1" t="shared" si="16"/>
        <v>0.76349335941442</v>
      </c>
      <c r="V11" s="29">
        <f ca="1" t="shared" si="17"/>
        <v>0.760987100890474</v>
      </c>
      <c r="W11" s="29">
        <f ca="1" t="shared" si="18"/>
        <v>0.758470990321877</v>
      </c>
      <c r="X11" s="29">
        <f ca="1" t="shared" si="19"/>
        <v>0.76349335941442</v>
      </c>
      <c r="Z11">
        <f ca="1" t="shared" si="20"/>
        <v>2634.72389541348</v>
      </c>
      <c r="AA11">
        <f ca="1" t="shared" si="21"/>
        <v>2642.422670273</v>
      </c>
      <c r="AB11">
        <f ca="1" t="shared" si="22"/>
        <v>2627.05549087263</v>
      </c>
      <c r="AC11" s="29"/>
      <c r="AD11" s="32">
        <f ca="1" t="shared" si="23"/>
        <v>-9.7</v>
      </c>
      <c r="AE11" s="32">
        <f ca="1" t="shared" si="24"/>
        <v>-8.9</v>
      </c>
      <c r="AF11" s="32">
        <f ca="1" t="shared" si="25"/>
        <v>-10.4</v>
      </c>
      <c r="AG11" s="36"/>
      <c r="AH11" s="32">
        <f ca="1" t="shared" si="26"/>
        <v>0.300000000000001</v>
      </c>
      <c r="AI11" s="32">
        <f ca="1" t="shared" si="27"/>
        <v>1.1</v>
      </c>
      <c r="AJ11" s="32">
        <f ca="1" t="shared" si="28"/>
        <v>-0.4</v>
      </c>
      <c r="AK11" s="29">
        <f ca="1" t="shared" si="29"/>
        <v>-0.4</v>
      </c>
      <c r="AL11" s="29">
        <f ca="1" t="shared" si="30"/>
        <v>1.1</v>
      </c>
      <c r="AN11" s="29">
        <f ca="1" t="shared" si="31"/>
        <v>-9.6</v>
      </c>
      <c r="AO11" s="29">
        <f ca="1" t="shared" si="32"/>
        <v>-9.4</v>
      </c>
      <c r="AP11" s="29">
        <f ca="1" t="shared" si="33"/>
        <v>-9.8</v>
      </c>
      <c r="AQ11" s="29"/>
      <c r="AR11" s="32">
        <f ca="1" t="shared" si="34"/>
        <v>0.400000000000002</v>
      </c>
      <c r="AS11" s="32">
        <f ca="1" t="shared" si="6"/>
        <v>0.6</v>
      </c>
      <c r="AT11" s="32">
        <f ca="1" t="shared" si="7"/>
        <v>0.200000000000001</v>
      </c>
      <c r="AU11" s="29">
        <f ca="1" t="shared" si="35"/>
        <v>0.200000000000001</v>
      </c>
      <c r="AV11" s="29">
        <f ca="1" t="shared" si="36"/>
        <v>0.6</v>
      </c>
      <c r="AW11" s="29"/>
      <c r="AX11" s="29"/>
    </row>
    <row r="12" spans="3:50">
      <c r="C12" s="8">
        <f>Accuracy!F11</f>
        <v>-5</v>
      </c>
      <c r="D12" s="8">
        <f>'Resistor Network'!AB12</f>
        <v>0.653179190751445</v>
      </c>
      <c r="E12" s="8">
        <f>'Resistor Network'!AC12</f>
        <v>0.645847155557072</v>
      </c>
      <c r="F12" s="8">
        <f>'Resistor Network'!AD12</f>
        <v>0.660439238576786</v>
      </c>
      <c r="G12" s="17"/>
      <c r="H12" s="17"/>
      <c r="J12">
        <f t="shared" si="8"/>
        <v>21403</v>
      </c>
      <c r="K12">
        <f t="shared" si="9"/>
        <v>21163</v>
      </c>
      <c r="L12">
        <f t="shared" si="10"/>
        <v>21641</v>
      </c>
      <c r="N12" s="29">
        <f t="shared" si="11"/>
        <v>0.653167724609375</v>
      </c>
      <c r="O12" s="29">
        <f t="shared" si="12"/>
        <v>0.645843505859375</v>
      </c>
      <c r="P12" s="29">
        <f t="shared" si="13"/>
        <v>0.660430908203125</v>
      </c>
      <c r="Q12" s="29"/>
      <c r="R12" s="29">
        <f ca="1" t="shared" si="14"/>
        <v>0.744506980257618</v>
      </c>
      <c r="S12" s="29">
        <f ca="1" t="shared" si="15"/>
        <v>0.742145982454181</v>
      </c>
      <c r="T12" s="29">
        <f ca="1" t="shared" si="16"/>
        <v>0.74686887999962</v>
      </c>
      <c r="V12" s="29">
        <f ca="1" t="shared" si="17"/>
        <v>0.744506980257618</v>
      </c>
      <c r="W12" s="29">
        <f ca="1" t="shared" si="18"/>
        <v>0.742145982454181</v>
      </c>
      <c r="X12" s="29">
        <f ca="1" t="shared" si="19"/>
        <v>0.74686887999962</v>
      </c>
      <c r="Z12">
        <f ca="1" t="shared" si="20"/>
        <v>2685.15356793687</v>
      </c>
      <c r="AA12">
        <f ca="1" t="shared" si="21"/>
        <v>2692.37902290651</v>
      </c>
      <c r="AB12">
        <f ca="1" t="shared" si="22"/>
        <v>2677.92552906644</v>
      </c>
      <c r="AC12" s="29"/>
      <c r="AD12" s="32">
        <f ca="1" t="shared" si="23"/>
        <v>-4.6</v>
      </c>
      <c r="AE12" s="32">
        <f ca="1" t="shared" si="24"/>
        <v>-3.9</v>
      </c>
      <c r="AF12" s="32">
        <f ca="1" t="shared" si="25"/>
        <v>-5.4</v>
      </c>
      <c r="AG12" s="36"/>
      <c r="AH12" s="32">
        <f ca="1" t="shared" si="26"/>
        <v>0.4</v>
      </c>
      <c r="AI12" s="32">
        <f ca="1" t="shared" si="27"/>
        <v>1.1</v>
      </c>
      <c r="AJ12" s="32">
        <f ca="1" t="shared" si="28"/>
        <v>-0.4</v>
      </c>
      <c r="AK12" s="29">
        <f ca="1" t="shared" si="29"/>
        <v>-0.4</v>
      </c>
      <c r="AL12" s="29">
        <f ca="1" t="shared" si="30"/>
        <v>1.1</v>
      </c>
      <c r="AN12" s="29">
        <f ca="1" t="shared" si="31"/>
        <v>-4.5</v>
      </c>
      <c r="AO12" s="29">
        <f ca="1" t="shared" si="32"/>
        <v>-4.4</v>
      </c>
      <c r="AP12" s="29">
        <f ca="1" t="shared" si="33"/>
        <v>-4.8</v>
      </c>
      <c r="AQ12" s="29"/>
      <c r="AR12" s="32">
        <f ca="1" t="shared" si="34"/>
        <v>0.500000000000002</v>
      </c>
      <c r="AS12" s="32">
        <f ca="1" t="shared" si="6"/>
        <v>0.6</v>
      </c>
      <c r="AT12" s="32">
        <f ca="1" t="shared" si="7"/>
        <v>0.200000000000001</v>
      </c>
      <c r="AU12" s="29">
        <f ca="1" t="shared" si="35"/>
        <v>0.200000000000001</v>
      </c>
      <c r="AV12" s="29">
        <f ca="1" t="shared" si="36"/>
        <v>0.6</v>
      </c>
      <c r="AW12" s="29"/>
      <c r="AX12" s="29"/>
    </row>
    <row r="13" spans="3:50">
      <c r="C13" s="8">
        <f>Accuracy!F12</f>
        <v>0</v>
      </c>
      <c r="D13" s="8">
        <f>'Resistor Network'!AB13</f>
        <v>0.602473498233215</v>
      </c>
      <c r="E13" s="8">
        <f>'Resistor Network'!AC13</f>
        <v>0.595258150106459</v>
      </c>
      <c r="F13" s="8">
        <f>'Resistor Network'!AD13</f>
        <v>0.609644569293527</v>
      </c>
      <c r="G13" s="17"/>
      <c r="H13" s="17"/>
      <c r="J13">
        <f t="shared" si="8"/>
        <v>19742</v>
      </c>
      <c r="K13">
        <f t="shared" si="9"/>
        <v>19505</v>
      </c>
      <c r="L13">
        <f t="shared" si="10"/>
        <v>19977</v>
      </c>
      <c r="N13" s="29">
        <f t="shared" si="11"/>
        <v>0.60247802734375</v>
      </c>
      <c r="O13" s="29">
        <f t="shared" si="12"/>
        <v>0.595245361328125</v>
      </c>
      <c r="P13" s="29">
        <f t="shared" si="13"/>
        <v>0.609649658203125</v>
      </c>
      <c r="Q13" s="29"/>
      <c r="R13" s="29">
        <f ca="1" t="shared" si="14"/>
        <v>0.728498229844582</v>
      </c>
      <c r="S13" s="29">
        <f ca="1" t="shared" si="15"/>
        <v>0.726261792553022</v>
      </c>
      <c r="T13" s="29">
        <f ca="1" t="shared" si="16"/>
        <v>0.73072437311219</v>
      </c>
      <c r="V13" s="29">
        <f ca="1" t="shared" si="17"/>
        <v>0.728498229844582</v>
      </c>
      <c r="W13" s="29">
        <f ca="1" t="shared" si="18"/>
        <v>0.726261792553022</v>
      </c>
      <c r="X13" s="29">
        <f ca="1" t="shared" si="19"/>
        <v>0.73072437311219</v>
      </c>
      <c r="Z13">
        <f ca="1" t="shared" si="20"/>
        <v>2734.14906526297</v>
      </c>
      <c r="AA13">
        <f ca="1" t="shared" si="21"/>
        <v>2740.99436804017</v>
      </c>
      <c r="AB13">
        <f ca="1" t="shared" si="22"/>
        <v>2727.33540750371</v>
      </c>
      <c r="AC13" s="29"/>
      <c r="AD13" s="32">
        <f ca="1" t="shared" si="23"/>
        <v>0.3</v>
      </c>
      <c r="AE13" s="32">
        <f ca="1" t="shared" si="24"/>
        <v>0.9</v>
      </c>
      <c r="AF13" s="32">
        <f ca="1" t="shared" si="25"/>
        <v>-0.4</v>
      </c>
      <c r="AG13" s="36"/>
      <c r="AH13" s="32">
        <f ca="1" t="shared" si="26"/>
        <v>0.3</v>
      </c>
      <c r="AI13" s="32">
        <f ca="1" t="shared" si="27"/>
        <v>0.9</v>
      </c>
      <c r="AJ13" s="32">
        <f ca="1" t="shared" si="28"/>
        <v>-0.4</v>
      </c>
      <c r="AK13" s="29">
        <f ca="1" t="shared" si="29"/>
        <v>-0.4</v>
      </c>
      <c r="AL13" s="29">
        <f ca="1" t="shared" si="30"/>
        <v>0.9</v>
      </c>
      <c r="AN13" s="29">
        <f ca="1" t="shared" si="31"/>
        <v>0.400000000000001</v>
      </c>
      <c r="AO13" s="29">
        <f ca="1" t="shared" si="32"/>
        <v>0.4</v>
      </c>
      <c r="AP13" s="29">
        <f ca="1" t="shared" si="33"/>
        <v>0.200000000000001</v>
      </c>
      <c r="AQ13" s="29"/>
      <c r="AR13" s="32">
        <f ca="1" t="shared" si="34"/>
        <v>0.400000000000001</v>
      </c>
      <c r="AS13" s="32">
        <f ca="1" t="shared" si="6"/>
        <v>0.4</v>
      </c>
      <c r="AT13" s="32">
        <f ca="1" t="shared" si="7"/>
        <v>0.200000000000001</v>
      </c>
      <c r="AU13" s="29">
        <f ca="1" t="shared" si="35"/>
        <v>0.200000000000001</v>
      </c>
      <c r="AV13" s="29">
        <f ca="1" t="shared" si="36"/>
        <v>0.4</v>
      </c>
      <c r="AW13" s="29"/>
      <c r="AX13" s="29"/>
    </row>
    <row r="14" spans="3:50">
      <c r="C14" s="8">
        <f>Accuracy!F13</f>
        <v>5</v>
      </c>
      <c r="D14" s="8">
        <f>'Resistor Network'!AB14</f>
        <v>0.550561797752809</v>
      </c>
      <c r="E14" s="8">
        <f>'Resistor Network'!AC14</f>
        <v>0.543646850118802</v>
      </c>
      <c r="F14" s="8">
        <f>'Resistor Network'!AD14</f>
        <v>0.557457259118876</v>
      </c>
      <c r="G14" s="17"/>
      <c r="H14" s="17"/>
      <c r="J14">
        <f t="shared" si="8"/>
        <v>18041</v>
      </c>
      <c r="K14">
        <f t="shared" si="9"/>
        <v>17814</v>
      </c>
      <c r="L14">
        <f t="shared" si="10"/>
        <v>18267</v>
      </c>
      <c r="N14" s="29">
        <f t="shared" si="11"/>
        <v>0.550567626953125</v>
      </c>
      <c r="O14" s="29">
        <f t="shared" si="12"/>
        <v>0.54364013671875</v>
      </c>
      <c r="P14" s="29">
        <f t="shared" si="13"/>
        <v>0.557464599609375</v>
      </c>
      <c r="Q14" s="29"/>
      <c r="R14" s="29">
        <f ca="1" t="shared" si="14"/>
        <v>0.712546235905915</v>
      </c>
      <c r="S14" s="29">
        <f ca="1" t="shared" si="15"/>
        <v>0.710420946569333</v>
      </c>
      <c r="T14" s="29">
        <f ca="1" t="shared" si="16"/>
        <v>0.71466017721868</v>
      </c>
      <c r="V14" s="29">
        <f ca="1" t="shared" si="17"/>
        <v>0.712546235905915</v>
      </c>
      <c r="W14" s="29">
        <f ca="1" t="shared" si="18"/>
        <v>0.710420946569333</v>
      </c>
      <c r="X14" s="29">
        <f ca="1" t="shared" si="19"/>
        <v>0.71466017721868</v>
      </c>
      <c r="Z14">
        <f ca="1" t="shared" si="20"/>
        <v>2782.97788913033</v>
      </c>
      <c r="AA14">
        <f ca="1" t="shared" si="21"/>
        <v>2789.48384412668</v>
      </c>
      <c r="AB14">
        <f ca="1" t="shared" si="22"/>
        <v>2776.50677837685</v>
      </c>
      <c r="AC14" s="29"/>
      <c r="AD14" s="32">
        <f ca="1" t="shared" si="23"/>
        <v>5.1</v>
      </c>
      <c r="AE14" s="32">
        <f ca="1" t="shared" si="24"/>
        <v>5.8</v>
      </c>
      <c r="AF14" s="32">
        <f ca="1" t="shared" si="25"/>
        <v>4.5</v>
      </c>
      <c r="AG14" s="36"/>
      <c r="AH14" s="32">
        <f ca="1" t="shared" si="26"/>
        <v>0.0999999999999996</v>
      </c>
      <c r="AI14" s="32">
        <f ca="1" t="shared" si="27"/>
        <v>0.8</v>
      </c>
      <c r="AJ14" s="32">
        <f ca="1" t="shared" si="28"/>
        <v>-0.5</v>
      </c>
      <c r="AK14" s="29">
        <f ca="1" t="shared" si="29"/>
        <v>-0.5</v>
      </c>
      <c r="AL14" s="29">
        <f ca="1" t="shared" si="30"/>
        <v>0.8</v>
      </c>
      <c r="AN14" s="29">
        <f ca="1" t="shared" si="31"/>
        <v>5.2</v>
      </c>
      <c r="AO14" s="29">
        <f ca="1" t="shared" si="32"/>
        <v>5.3</v>
      </c>
      <c r="AP14" s="29">
        <f ca="1" t="shared" si="33"/>
        <v>5.1</v>
      </c>
      <c r="AQ14" s="29"/>
      <c r="AR14" s="32">
        <f ca="1" t="shared" si="34"/>
        <v>0.200000000000001</v>
      </c>
      <c r="AS14" s="32">
        <f ca="1" t="shared" si="6"/>
        <v>0.3</v>
      </c>
      <c r="AT14" s="32">
        <f ca="1" t="shared" si="7"/>
        <v>0.100000000000001</v>
      </c>
      <c r="AU14" s="29">
        <f ca="1" t="shared" si="35"/>
        <v>0.100000000000001</v>
      </c>
      <c r="AV14" s="29">
        <f ca="1" t="shared" si="36"/>
        <v>0.3</v>
      </c>
      <c r="AW14" s="29"/>
      <c r="AX14" s="29"/>
    </row>
    <row r="15" spans="3:50">
      <c r="C15" s="8">
        <f>Accuracy!F14</f>
        <v>10</v>
      </c>
      <c r="D15" s="8">
        <f>'Resistor Network'!AB15</f>
        <v>0.49944382647386</v>
      </c>
      <c r="E15" s="8">
        <f>'Resistor Network'!AC15</f>
        <v>0.492980215919642</v>
      </c>
      <c r="F15" s="8">
        <f>'Resistor Network'!AD15</f>
        <v>0.505907622921357</v>
      </c>
      <c r="G15" s="17"/>
      <c r="H15" s="17"/>
      <c r="J15">
        <f t="shared" si="8"/>
        <v>16366</v>
      </c>
      <c r="K15">
        <f t="shared" si="9"/>
        <v>16154</v>
      </c>
      <c r="L15">
        <f t="shared" si="10"/>
        <v>16578</v>
      </c>
      <c r="N15" s="29">
        <f t="shared" si="11"/>
        <v>0.49945068359375</v>
      </c>
      <c r="O15" s="29">
        <f t="shared" si="12"/>
        <v>0.49298095703125</v>
      </c>
      <c r="P15" s="29">
        <f t="shared" si="13"/>
        <v>0.50592041015625</v>
      </c>
      <c r="Q15" s="29"/>
      <c r="R15" s="29">
        <f ca="1" t="shared" si="14"/>
        <v>0.696733767009248</v>
      </c>
      <c r="S15" s="29">
        <f ca="1" t="shared" si="15"/>
        <v>0.694699114890464</v>
      </c>
      <c r="T15" s="29">
        <f ca="1" t="shared" si="16"/>
        <v>0.698758606680277</v>
      </c>
      <c r="V15" s="29">
        <f ca="1" t="shared" si="17"/>
        <v>0.696733767009248</v>
      </c>
      <c r="W15" s="29">
        <f ca="1" t="shared" si="18"/>
        <v>0.694699114890464</v>
      </c>
      <c r="X15" s="29">
        <f ca="1" t="shared" si="19"/>
        <v>0.698758606680277</v>
      </c>
      <c r="Z15">
        <f ca="1" t="shared" si="20"/>
        <v>2831.38554900481</v>
      </c>
      <c r="AA15">
        <f ca="1" t="shared" si="21"/>
        <v>2837.61472808518</v>
      </c>
      <c r="AB15">
        <f ca="1" t="shared" si="22"/>
        <v>2825.18649163104</v>
      </c>
      <c r="AC15" s="29"/>
      <c r="AD15" s="32">
        <f ca="1" t="shared" si="23"/>
        <v>10</v>
      </c>
      <c r="AE15" s="32">
        <f ca="1" t="shared" si="24"/>
        <v>10.6</v>
      </c>
      <c r="AF15" s="32">
        <f ca="1" t="shared" si="25"/>
        <v>9.4</v>
      </c>
      <c r="AG15" s="36"/>
      <c r="AH15" s="32">
        <f ca="1" t="shared" si="26"/>
        <v>0</v>
      </c>
      <c r="AI15" s="32">
        <f ca="1" t="shared" si="27"/>
        <v>0.6</v>
      </c>
      <c r="AJ15" s="32">
        <f ca="1" t="shared" si="28"/>
        <v>-0.6</v>
      </c>
      <c r="AK15" s="29">
        <f ca="1" t="shared" si="29"/>
        <v>-0.6</v>
      </c>
      <c r="AL15" s="29">
        <f ca="1" t="shared" si="30"/>
        <v>0.6</v>
      </c>
      <c r="AN15" s="29">
        <f ca="1" t="shared" si="31"/>
        <v>10.1</v>
      </c>
      <c r="AO15" s="29">
        <f ca="1" t="shared" si="32"/>
        <v>10.1</v>
      </c>
      <c r="AP15" s="29">
        <f ca="1" t="shared" si="33"/>
        <v>10</v>
      </c>
      <c r="AQ15" s="29"/>
      <c r="AR15" s="32">
        <f ca="1" t="shared" si="34"/>
        <v>0.100000000000001</v>
      </c>
      <c r="AS15" s="32">
        <f ca="1" t="shared" si="6"/>
        <v>0.0999999999999996</v>
      </c>
      <c r="AT15" s="32">
        <f ca="1" t="shared" si="7"/>
        <v>0</v>
      </c>
      <c r="AU15" s="29">
        <f ca="1" t="shared" si="35"/>
        <v>0</v>
      </c>
      <c r="AV15" s="29">
        <f ca="1" t="shared" si="36"/>
        <v>0.0999999999999996</v>
      </c>
      <c r="AW15" s="29"/>
      <c r="AX15" s="29"/>
    </row>
    <row r="16" spans="3:50">
      <c r="C16" s="8">
        <f>Accuracy!F15</f>
        <v>15</v>
      </c>
      <c r="D16" s="8">
        <f>'Resistor Network'!AB16</f>
        <v>0.44937289691037</v>
      </c>
      <c r="E16" s="8">
        <f>'Resistor Network'!AC16</f>
        <v>0.44347979038331</v>
      </c>
      <c r="F16" s="8">
        <f>'Resistor Network'!AD16</f>
        <v>0.45528024920245</v>
      </c>
      <c r="G16" s="17"/>
      <c r="H16" s="17"/>
      <c r="J16">
        <f t="shared" si="8"/>
        <v>14725</v>
      </c>
      <c r="K16">
        <f t="shared" si="9"/>
        <v>14532</v>
      </c>
      <c r="L16">
        <f t="shared" si="10"/>
        <v>14919</v>
      </c>
      <c r="N16" s="29">
        <f t="shared" si="11"/>
        <v>0.449371337890625</v>
      </c>
      <c r="O16" s="29">
        <f t="shared" si="12"/>
        <v>0.4434814453125</v>
      </c>
      <c r="P16" s="29">
        <f t="shared" si="13"/>
        <v>0.455291748046875</v>
      </c>
      <c r="Q16" s="29"/>
      <c r="R16" s="29">
        <f ca="1" t="shared" si="14"/>
        <v>0.680652121044758</v>
      </c>
      <c r="S16" s="29">
        <f ca="1" t="shared" si="15"/>
        <v>0.678700473512804</v>
      </c>
      <c r="T16" s="29">
        <f ca="1" t="shared" si="16"/>
        <v>0.68259917717714</v>
      </c>
      <c r="V16" s="29">
        <f ca="1" t="shared" si="17"/>
        <v>0.680652121044758</v>
      </c>
      <c r="W16" s="29">
        <f ca="1" t="shared" si="18"/>
        <v>0.678700473512804</v>
      </c>
      <c r="X16" s="29">
        <f ca="1" t="shared" si="19"/>
        <v>0.68259917717714</v>
      </c>
      <c r="Z16">
        <f ca="1" t="shared" si="20"/>
        <v>2880.62227158549</v>
      </c>
      <c r="AA16">
        <f ca="1" t="shared" si="21"/>
        <v>2886.59786994774</v>
      </c>
      <c r="AB16">
        <f ca="1" t="shared" si="22"/>
        <v>2874.66079019495</v>
      </c>
      <c r="AC16" s="29"/>
      <c r="AD16" s="32">
        <f ca="1" t="shared" si="23"/>
        <v>14.9</v>
      </c>
      <c r="AE16" s="32">
        <f ca="1" t="shared" si="24"/>
        <v>15.5</v>
      </c>
      <c r="AF16" s="32">
        <f ca="1" t="shared" si="25"/>
        <v>14.3</v>
      </c>
      <c r="AG16" s="36"/>
      <c r="AH16" s="32">
        <f ca="1" t="shared" si="26"/>
        <v>-0.0999999999999996</v>
      </c>
      <c r="AI16" s="32">
        <f ca="1" t="shared" si="27"/>
        <v>0.5</v>
      </c>
      <c r="AJ16" s="32">
        <f ca="1" t="shared" si="28"/>
        <v>-0.699999999999999</v>
      </c>
      <c r="AK16" s="29">
        <f ca="1" t="shared" si="29"/>
        <v>-0.699999999999999</v>
      </c>
      <c r="AL16" s="29">
        <f ca="1" t="shared" si="30"/>
        <v>0.5</v>
      </c>
      <c r="AN16" s="29">
        <f ca="1" t="shared" si="31"/>
        <v>15</v>
      </c>
      <c r="AO16" s="29">
        <f ca="1" t="shared" si="32"/>
        <v>15</v>
      </c>
      <c r="AP16" s="29">
        <f ca="1" t="shared" si="33"/>
        <v>14.9</v>
      </c>
      <c r="AQ16" s="29"/>
      <c r="AR16" s="32">
        <f ca="1" t="shared" si="34"/>
        <v>0</v>
      </c>
      <c r="AS16" s="32">
        <f ca="1" t="shared" si="6"/>
        <v>0</v>
      </c>
      <c r="AT16" s="32">
        <f ca="1" t="shared" si="7"/>
        <v>-0.0999999999999979</v>
      </c>
      <c r="AU16" s="29">
        <f ca="1" t="shared" si="35"/>
        <v>-0.0999999999999979</v>
      </c>
      <c r="AV16" s="29">
        <f ca="1" t="shared" si="36"/>
        <v>0</v>
      </c>
      <c r="AW16" s="29"/>
      <c r="AX16" s="29"/>
    </row>
    <row r="17" spans="3:50">
      <c r="C17" s="8">
        <f>Accuracy!F16</f>
        <v>20</v>
      </c>
      <c r="D17" s="8">
        <f>'Resistor Network'!AB17</f>
        <v>0.401794616151545</v>
      </c>
      <c r="E17" s="8">
        <f>'Resistor Network'!AC17</f>
        <v>0.39654266669527</v>
      </c>
      <c r="F17" s="8">
        <f>'Resistor Network'!AD17</f>
        <v>0.407069202657288</v>
      </c>
      <c r="G17" s="17"/>
      <c r="H17" s="17"/>
      <c r="J17">
        <f t="shared" si="8"/>
        <v>13166</v>
      </c>
      <c r="K17">
        <f t="shared" si="9"/>
        <v>12994</v>
      </c>
      <c r="L17">
        <f t="shared" si="10"/>
        <v>13339</v>
      </c>
      <c r="N17" s="29">
        <f t="shared" si="11"/>
        <v>0.40179443359375</v>
      </c>
      <c r="O17" s="29">
        <f t="shared" si="12"/>
        <v>0.39654541015625</v>
      </c>
      <c r="P17" s="29">
        <f t="shared" si="13"/>
        <v>0.407073974609375</v>
      </c>
      <c r="Q17" s="29"/>
      <c r="R17" s="29">
        <f ca="1" t="shared" si="14"/>
        <v>0.66440254506364</v>
      </c>
      <c r="S17" s="29">
        <f ca="1" t="shared" si="15"/>
        <v>0.662533496071053</v>
      </c>
      <c r="T17" s="29">
        <f ca="1" t="shared" si="16"/>
        <v>0.66626560087391</v>
      </c>
      <c r="V17" s="29">
        <f ca="1" t="shared" si="17"/>
        <v>0.66440254506364</v>
      </c>
      <c r="W17" s="29">
        <f ca="1" t="shared" si="18"/>
        <v>0.662533496071053</v>
      </c>
      <c r="X17" s="29">
        <f ca="1" t="shared" si="19"/>
        <v>0.66626560087391</v>
      </c>
      <c r="Z17">
        <f ca="1" t="shared" si="20"/>
        <v>2930.37721506292</v>
      </c>
      <c r="AA17">
        <f ca="1" t="shared" si="21"/>
        <v>2936.1003123413</v>
      </c>
      <c r="AB17">
        <f ca="1" t="shared" si="22"/>
        <v>2924.67250886428</v>
      </c>
      <c r="AC17" s="29"/>
      <c r="AD17" s="32">
        <f ca="1" t="shared" si="23"/>
        <v>19.9</v>
      </c>
      <c r="AE17" s="32">
        <f ca="1" t="shared" si="24"/>
        <v>20.5</v>
      </c>
      <c r="AF17" s="32">
        <f ca="1" t="shared" si="25"/>
        <v>19.3</v>
      </c>
      <c r="AG17" s="36"/>
      <c r="AH17" s="32">
        <f ca="1" t="shared" si="26"/>
        <v>-0.100000000000001</v>
      </c>
      <c r="AI17" s="32">
        <f ca="1" t="shared" si="27"/>
        <v>0.5</v>
      </c>
      <c r="AJ17" s="32">
        <f ca="1" t="shared" si="28"/>
        <v>-0.699999999999999</v>
      </c>
      <c r="AK17" s="29">
        <f ca="1" t="shared" si="29"/>
        <v>-0.699999999999999</v>
      </c>
      <c r="AL17" s="29">
        <f ca="1" t="shared" si="30"/>
        <v>0.5</v>
      </c>
      <c r="AN17" s="29">
        <f ca="1" t="shared" si="31"/>
        <v>20</v>
      </c>
      <c r="AO17" s="29">
        <f ca="1" t="shared" si="32"/>
        <v>20</v>
      </c>
      <c r="AP17" s="29">
        <f ca="1" t="shared" si="33"/>
        <v>19.9</v>
      </c>
      <c r="AQ17" s="29"/>
      <c r="AR17" s="32">
        <f ca="1" t="shared" si="34"/>
        <v>0</v>
      </c>
      <c r="AS17" s="32">
        <f ca="1" t="shared" si="6"/>
        <v>0</v>
      </c>
      <c r="AT17" s="32">
        <f ca="1" t="shared" si="7"/>
        <v>-0.0999999999999979</v>
      </c>
      <c r="AU17" s="29">
        <f ca="1" t="shared" si="35"/>
        <v>-0.0999999999999979</v>
      </c>
      <c r="AV17" s="29">
        <f ca="1" t="shared" si="36"/>
        <v>0</v>
      </c>
      <c r="AW17" s="29"/>
      <c r="AX17" s="29"/>
    </row>
    <row r="18" spans="3:50">
      <c r="C18" s="8">
        <f>Accuracy!F17</f>
        <v>25</v>
      </c>
      <c r="D18" s="8">
        <f>'Resistor Network'!AB18</f>
        <v>0.357142857142857</v>
      </c>
      <c r="E18" s="8">
        <f>'Resistor Network'!AC18</f>
        <v>0.352564102564103</v>
      </c>
      <c r="F18" s="8">
        <f>'Resistor Network'!AD18</f>
        <v>0.361747851002865</v>
      </c>
      <c r="G18" s="17"/>
      <c r="H18" s="17"/>
      <c r="J18">
        <f t="shared" si="8"/>
        <v>11703</v>
      </c>
      <c r="K18">
        <f t="shared" si="9"/>
        <v>11553</v>
      </c>
      <c r="L18">
        <f t="shared" si="10"/>
        <v>11854</v>
      </c>
      <c r="N18" s="29">
        <f t="shared" si="11"/>
        <v>0.357147216796875</v>
      </c>
      <c r="O18" s="29">
        <f t="shared" si="12"/>
        <v>0.352569580078125</v>
      </c>
      <c r="P18" s="29">
        <f t="shared" si="13"/>
        <v>0.36175537109375</v>
      </c>
      <c r="Q18" s="29"/>
      <c r="R18" s="29">
        <f ca="1" t="shared" si="14"/>
        <v>0.647908500417116</v>
      </c>
      <c r="S18" s="29">
        <f ca="1" t="shared" si="15"/>
        <v>0.646133523311662</v>
      </c>
      <c r="T18" s="29">
        <f ca="1" t="shared" si="16"/>
        <v>0.649678227945912</v>
      </c>
      <c r="V18" s="29">
        <f ca="1" t="shared" si="17"/>
        <v>0.647908500417116</v>
      </c>
      <c r="W18" s="29">
        <f ca="1" t="shared" si="18"/>
        <v>0.646133523311662</v>
      </c>
      <c r="X18" s="29">
        <f ca="1" t="shared" si="19"/>
        <v>0.649678227945912</v>
      </c>
      <c r="Z18">
        <f ca="1" t="shared" si="20"/>
        <v>2980.88378349601</v>
      </c>
      <c r="AA18">
        <f ca="1" t="shared" si="21"/>
        <v>2986.31909546425</v>
      </c>
      <c r="AB18">
        <f ca="1" t="shared" si="22"/>
        <v>2975.4645695244</v>
      </c>
      <c r="AC18" s="29"/>
      <c r="AD18" s="32">
        <f ca="1" t="shared" si="23"/>
        <v>24.9</v>
      </c>
      <c r="AE18" s="32">
        <f ca="1" t="shared" si="24"/>
        <v>25.5</v>
      </c>
      <c r="AF18" s="32">
        <f ca="1" t="shared" si="25"/>
        <v>24.4</v>
      </c>
      <c r="AG18" s="36"/>
      <c r="AH18" s="32">
        <f ca="1" t="shared" si="26"/>
        <v>-0.100000000000001</v>
      </c>
      <c r="AI18" s="32">
        <f ca="1" t="shared" si="27"/>
        <v>0.5</v>
      </c>
      <c r="AJ18" s="32">
        <f ca="1" t="shared" si="28"/>
        <v>-0.600000000000001</v>
      </c>
      <c r="AK18" s="29">
        <f ca="1" t="shared" si="29"/>
        <v>-0.600000000000001</v>
      </c>
      <c r="AL18" s="29">
        <f ca="1" t="shared" si="30"/>
        <v>0.5</v>
      </c>
      <c r="AN18" s="29">
        <f ca="1" t="shared" si="31"/>
        <v>25</v>
      </c>
      <c r="AO18" s="29">
        <f ca="1" t="shared" si="32"/>
        <v>25</v>
      </c>
      <c r="AP18" s="29">
        <f ca="1" t="shared" si="33"/>
        <v>25</v>
      </c>
      <c r="AQ18" s="29"/>
      <c r="AR18" s="32">
        <f ca="1" t="shared" si="34"/>
        <v>0</v>
      </c>
      <c r="AS18" s="32">
        <f ca="1" t="shared" si="6"/>
        <v>0</v>
      </c>
      <c r="AT18" s="32">
        <f ca="1" t="shared" si="7"/>
        <v>0</v>
      </c>
      <c r="AU18" s="29">
        <f ca="1" t="shared" si="35"/>
        <v>0</v>
      </c>
      <c r="AV18" s="29">
        <f ca="1" t="shared" si="36"/>
        <v>0</v>
      </c>
      <c r="AW18" s="29"/>
      <c r="AX18" s="29"/>
    </row>
    <row r="19" spans="3:50">
      <c r="C19" s="8">
        <f>Accuracy!F18</f>
        <v>30</v>
      </c>
      <c r="D19" s="8">
        <f>'Resistor Network'!AB19</f>
        <v>0.315927488313761</v>
      </c>
      <c r="E19" s="8">
        <f>'Resistor Network'!AC19</f>
        <v>0.311224789653832</v>
      </c>
      <c r="F19" s="8">
        <f>'Resistor Network'!AD19</f>
        <v>0.320668163631629</v>
      </c>
      <c r="G19" s="17"/>
      <c r="H19" s="17"/>
      <c r="J19">
        <f t="shared" si="8"/>
        <v>10352</v>
      </c>
      <c r="K19">
        <f t="shared" si="9"/>
        <v>10198</v>
      </c>
      <c r="L19">
        <f t="shared" si="10"/>
        <v>10508</v>
      </c>
      <c r="N19" s="29">
        <f t="shared" si="11"/>
        <v>0.31591796875</v>
      </c>
      <c r="O19" s="29">
        <f t="shared" si="12"/>
        <v>0.31121826171875</v>
      </c>
      <c r="P19" s="29">
        <f t="shared" si="13"/>
        <v>0.3206787109375</v>
      </c>
      <c r="Q19" s="29"/>
      <c r="R19" s="29">
        <f ca="1" t="shared" si="14"/>
        <v>0.631250805877202</v>
      </c>
      <c r="S19" s="29">
        <f ca="1" t="shared" si="15"/>
        <v>0.629247544184136</v>
      </c>
      <c r="T19" s="29">
        <f ca="1" t="shared" si="16"/>
        <v>0.633256611320398</v>
      </c>
      <c r="V19" s="29">
        <f ca="1" t="shared" si="17"/>
        <v>0.631250805877202</v>
      </c>
      <c r="W19" s="29">
        <f ca="1" t="shared" si="18"/>
        <v>0.629247544184136</v>
      </c>
      <c r="X19" s="29">
        <f ca="1" t="shared" si="19"/>
        <v>0.633256611320398</v>
      </c>
      <c r="Z19">
        <f ca="1" t="shared" si="20"/>
        <v>3031.89347017716</v>
      </c>
      <c r="AA19">
        <f ca="1" t="shared" si="21"/>
        <v>3038.02799808617</v>
      </c>
      <c r="AB19">
        <f ca="1" t="shared" si="22"/>
        <v>3025.75116498413</v>
      </c>
      <c r="AC19" s="29"/>
      <c r="AD19" s="32">
        <f ca="1" t="shared" si="23"/>
        <v>30</v>
      </c>
      <c r="AE19" s="32">
        <f ca="1" t="shared" si="24"/>
        <v>30.7</v>
      </c>
      <c r="AF19" s="32">
        <f ca="1" t="shared" si="25"/>
        <v>29.4</v>
      </c>
      <c r="AG19" s="36"/>
      <c r="AH19" s="32">
        <f ca="1" t="shared" si="26"/>
        <v>0</v>
      </c>
      <c r="AI19" s="32">
        <f ca="1" t="shared" si="27"/>
        <v>0.699999999999999</v>
      </c>
      <c r="AJ19" s="32">
        <f ca="1" t="shared" si="28"/>
        <v>-0.600000000000001</v>
      </c>
      <c r="AK19" s="29">
        <f ca="1" t="shared" si="29"/>
        <v>-0.600000000000001</v>
      </c>
      <c r="AL19" s="29">
        <f ca="1" t="shared" si="30"/>
        <v>0.699999999999999</v>
      </c>
      <c r="AN19" s="29">
        <f ca="1" t="shared" si="31"/>
        <v>30.1</v>
      </c>
      <c r="AO19" s="29">
        <f ca="1" t="shared" si="32"/>
        <v>30.2</v>
      </c>
      <c r="AP19" s="29">
        <f ca="1" t="shared" si="33"/>
        <v>30</v>
      </c>
      <c r="AQ19" s="29"/>
      <c r="AR19" s="32">
        <f ca="1" t="shared" si="34"/>
        <v>0.100000000000001</v>
      </c>
      <c r="AS19" s="32">
        <f ca="1" t="shared" si="6"/>
        <v>0.199999999999999</v>
      </c>
      <c r="AT19" s="32">
        <f ca="1" t="shared" si="7"/>
        <v>0</v>
      </c>
      <c r="AU19" s="29">
        <f ca="1" t="shared" si="35"/>
        <v>0</v>
      </c>
      <c r="AV19" s="29">
        <f ca="1" t="shared" si="36"/>
        <v>0.199999999999999</v>
      </c>
      <c r="AW19" s="29"/>
      <c r="AX19" s="29"/>
    </row>
    <row r="20" spans="3:50">
      <c r="C20" s="8">
        <f>Accuracy!F19</f>
        <v>35</v>
      </c>
      <c r="D20" s="8">
        <f>'Resistor Network'!AB20</f>
        <v>0.278267842822775</v>
      </c>
      <c r="E20" s="8">
        <f>'Resistor Network'!AC20</f>
        <v>0.273542399753565</v>
      </c>
      <c r="F20" s="8">
        <f>'Resistor Network'!AD20</f>
        <v>0.283043112351066</v>
      </c>
      <c r="G20" s="17"/>
      <c r="H20" s="17"/>
      <c r="J20">
        <f t="shared" si="8"/>
        <v>9118</v>
      </c>
      <c r="K20">
        <f t="shared" si="9"/>
        <v>8963</v>
      </c>
      <c r="L20">
        <f t="shared" si="10"/>
        <v>9275</v>
      </c>
      <c r="N20" s="29">
        <f t="shared" si="11"/>
        <v>0.27825927734375</v>
      </c>
      <c r="O20" s="29">
        <f t="shared" si="12"/>
        <v>0.273529052734375</v>
      </c>
      <c r="P20" s="29">
        <f t="shared" si="13"/>
        <v>0.283050537109375</v>
      </c>
      <c r="Q20" s="29"/>
      <c r="R20" s="29">
        <f ca="1" t="shared" si="14"/>
        <v>0.614488320787131</v>
      </c>
      <c r="S20" s="29">
        <f ca="1" t="shared" si="15"/>
        <v>0.612257836922424</v>
      </c>
      <c r="T20" s="29">
        <f ca="1" t="shared" si="16"/>
        <v>0.616716969050722</v>
      </c>
      <c r="V20" s="29">
        <f ca="1" t="shared" si="17"/>
        <v>0.614488320787131</v>
      </c>
      <c r="W20" s="29">
        <f ca="1" t="shared" si="18"/>
        <v>0.612257836922424</v>
      </c>
      <c r="X20" s="29">
        <f ca="1" t="shared" si="19"/>
        <v>0.616716969050722</v>
      </c>
      <c r="Z20">
        <f ca="1" t="shared" si="20"/>
        <v>3083.22490849846</v>
      </c>
      <c r="AA20">
        <f ca="1" t="shared" si="21"/>
        <v>3090.05527820715</v>
      </c>
      <c r="AB20">
        <f ca="1" t="shared" si="22"/>
        <v>3076.40015420753</v>
      </c>
      <c r="AC20" s="29"/>
      <c r="AD20" s="32">
        <f ca="1" t="shared" si="23"/>
        <v>35.2</v>
      </c>
      <c r="AE20" s="32">
        <f ca="1" t="shared" si="24"/>
        <v>35.9</v>
      </c>
      <c r="AF20" s="32">
        <f ca="1" t="shared" si="25"/>
        <v>34.5</v>
      </c>
      <c r="AG20" s="36"/>
      <c r="AH20" s="32">
        <f ca="1" t="shared" si="26"/>
        <v>0.200000000000003</v>
      </c>
      <c r="AI20" s="32">
        <f ca="1" t="shared" si="27"/>
        <v>0.899999999999999</v>
      </c>
      <c r="AJ20" s="32">
        <f ca="1" t="shared" si="28"/>
        <v>-0.5</v>
      </c>
      <c r="AK20" s="29">
        <f ca="1" t="shared" si="29"/>
        <v>-0.5</v>
      </c>
      <c r="AL20" s="29">
        <f ca="1" t="shared" si="30"/>
        <v>0.899999999999999</v>
      </c>
      <c r="AN20" s="29">
        <f ca="1" t="shared" si="31"/>
        <v>35.3</v>
      </c>
      <c r="AO20" s="29">
        <f ca="1" t="shared" si="32"/>
        <v>35.4</v>
      </c>
      <c r="AP20" s="29">
        <f ca="1" t="shared" si="33"/>
        <v>35.1</v>
      </c>
      <c r="AQ20" s="29"/>
      <c r="AR20" s="32">
        <f ca="1" t="shared" si="34"/>
        <v>0.300000000000004</v>
      </c>
      <c r="AS20" s="32">
        <f ca="1" t="shared" si="6"/>
        <v>0.399999999999999</v>
      </c>
      <c r="AT20" s="32">
        <f ca="1" t="shared" si="7"/>
        <v>0.100000000000001</v>
      </c>
      <c r="AU20" s="29">
        <f ca="1" t="shared" si="35"/>
        <v>0.100000000000001</v>
      </c>
      <c r="AV20" s="29">
        <f ca="1" t="shared" si="36"/>
        <v>0.399999999999999</v>
      </c>
      <c r="AW20" s="29"/>
      <c r="AX20" s="29"/>
    </row>
    <row r="21" spans="3:50">
      <c r="C21" s="8">
        <f>Accuracy!F20</f>
        <v>40</v>
      </c>
      <c r="D21" s="8">
        <f>'Resistor Network'!AB21</f>
        <v>0.244554496999203</v>
      </c>
      <c r="E21" s="8">
        <f>'Resistor Network'!AC21</f>
        <v>0.239892135280129</v>
      </c>
      <c r="F21" s="8">
        <f>'Resistor Network'!AD21</f>
        <v>0.249277755897912</v>
      </c>
      <c r="G21" s="17"/>
      <c r="H21" s="17"/>
      <c r="J21">
        <f t="shared" si="8"/>
        <v>8014</v>
      </c>
      <c r="K21">
        <f t="shared" si="9"/>
        <v>7861</v>
      </c>
      <c r="L21">
        <f t="shared" si="10"/>
        <v>8168</v>
      </c>
      <c r="N21" s="29">
        <f t="shared" si="11"/>
        <v>0.24456787109375</v>
      </c>
      <c r="O21" s="29">
        <f t="shared" si="12"/>
        <v>0.239898681640625</v>
      </c>
      <c r="P21" s="29">
        <f t="shared" si="13"/>
        <v>0.249267578125</v>
      </c>
      <c r="Q21" s="29"/>
      <c r="R21" s="29">
        <f ca="1" t="shared" si="14"/>
        <v>0.597879944698874</v>
      </c>
      <c r="S21" s="29">
        <f ca="1" t="shared" si="15"/>
        <v>0.595433524026671</v>
      </c>
      <c r="T21" s="29">
        <f ca="1" t="shared" si="16"/>
        <v>0.60030397181322</v>
      </c>
      <c r="V21" s="29">
        <f ca="1" t="shared" si="17"/>
        <v>0.597879944698874</v>
      </c>
      <c r="W21" s="29">
        <f ca="1" t="shared" si="18"/>
        <v>0.595433524026671</v>
      </c>
      <c r="X21" s="29">
        <f ca="1" t="shared" si="19"/>
        <v>0.60030397181322</v>
      </c>
      <c r="Z21">
        <f ca="1" t="shared" si="20"/>
        <v>3134.08410695798</v>
      </c>
      <c r="AA21">
        <f ca="1" t="shared" si="21"/>
        <v>3141.5755913387</v>
      </c>
      <c r="AB21">
        <f ca="1" t="shared" si="22"/>
        <v>3126.66116513411</v>
      </c>
      <c r="AC21" s="29"/>
      <c r="AD21" s="32">
        <f ca="1" t="shared" si="23"/>
        <v>40.3</v>
      </c>
      <c r="AE21" s="32">
        <f ca="1" t="shared" si="24"/>
        <v>41</v>
      </c>
      <c r="AF21" s="32">
        <f ca="1" t="shared" si="25"/>
        <v>39.5</v>
      </c>
      <c r="AG21" s="36"/>
      <c r="AH21" s="32">
        <f ca="1" t="shared" si="26"/>
        <v>0.299999999999997</v>
      </c>
      <c r="AI21" s="32">
        <f ca="1" t="shared" si="27"/>
        <v>1</v>
      </c>
      <c r="AJ21" s="32">
        <f ca="1" t="shared" si="28"/>
        <v>-0.5</v>
      </c>
      <c r="AK21" s="29">
        <f ca="1" t="shared" si="29"/>
        <v>-0.5</v>
      </c>
      <c r="AL21" s="29">
        <f ca="1" t="shared" si="30"/>
        <v>1</v>
      </c>
      <c r="AN21" s="29">
        <f ca="1" t="shared" si="31"/>
        <v>40.4</v>
      </c>
      <c r="AO21" s="29">
        <f ca="1" t="shared" si="32"/>
        <v>40.5</v>
      </c>
      <c r="AP21" s="29">
        <f ca="1" t="shared" si="33"/>
        <v>40.1</v>
      </c>
      <c r="AQ21" s="29"/>
      <c r="AR21" s="32">
        <f ca="1" t="shared" si="34"/>
        <v>0.399999999999999</v>
      </c>
      <c r="AS21" s="32">
        <f ca="1" t="shared" si="6"/>
        <v>0.5</v>
      </c>
      <c r="AT21" s="32">
        <f ca="1" t="shared" si="7"/>
        <v>0.100000000000001</v>
      </c>
      <c r="AU21" s="29">
        <f ca="1" t="shared" si="35"/>
        <v>0.100000000000001</v>
      </c>
      <c r="AV21" s="29">
        <f ca="1" t="shared" si="36"/>
        <v>0.5</v>
      </c>
      <c r="AW21" s="29"/>
      <c r="AX21" s="29"/>
    </row>
    <row r="22" spans="3:50">
      <c r="C22" s="8">
        <f>Accuracy!F21</f>
        <v>45</v>
      </c>
      <c r="D22" s="8">
        <f>'Resistor Network'!AB22</f>
        <v>0.214351185020296</v>
      </c>
      <c r="E22" s="8">
        <f>'Resistor Network'!AC22</f>
        <v>0.209820801573032</v>
      </c>
      <c r="F22" s="8">
        <f>'Resistor Network'!AD22</f>
        <v>0.218952282312575</v>
      </c>
      <c r="G22" s="17"/>
      <c r="H22" s="17"/>
      <c r="J22">
        <f t="shared" si="8"/>
        <v>7024</v>
      </c>
      <c r="K22">
        <f t="shared" si="9"/>
        <v>6875</v>
      </c>
      <c r="L22">
        <f t="shared" si="10"/>
        <v>7175</v>
      </c>
      <c r="N22" s="29">
        <f t="shared" si="11"/>
        <v>0.21435546875</v>
      </c>
      <c r="O22" s="29">
        <f t="shared" si="12"/>
        <v>0.209808349609375</v>
      </c>
      <c r="P22" s="29">
        <f t="shared" si="13"/>
        <v>0.218963623046875</v>
      </c>
      <c r="Q22" s="29"/>
      <c r="R22" s="29">
        <f ca="1" t="shared" si="14"/>
        <v>0.58130342190088</v>
      </c>
      <c r="S22" s="29">
        <f ca="1" t="shared" si="15"/>
        <v>0.578640463409029</v>
      </c>
      <c r="T22" s="29">
        <f ca="1" t="shared" si="16"/>
        <v>0.583953520829591</v>
      </c>
      <c r="V22" s="29">
        <f ca="1" t="shared" si="17"/>
        <v>0.58130342190088</v>
      </c>
      <c r="W22" s="29">
        <f ca="1" t="shared" si="18"/>
        <v>0.578640463409029</v>
      </c>
      <c r="X22" s="29">
        <f ca="1" t="shared" si="19"/>
        <v>0.583953520829591</v>
      </c>
      <c r="Z22">
        <f ca="1" t="shared" si="20"/>
        <v>3184.84429587359</v>
      </c>
      <c r="AA22">
        <f ca="1" t="shared" si="21"/>
        <v>3192.99852309481</v>
      </c>
      <c r="AB22">
        <f ca="1" t="shared" si="22"/>
        <v>3176.72937886442</v>
      </c>
      <c r="AC22" s="29"/>
      <c r="AD22" s="32">
        <f ca="1" t="shared" si="23"/>
        <v>45.3</v>
      </c>
      <c r="AE22" s="32">
        <f ca="1" t="shared" si="24"/>
        <v>46.1</v>
      </c>
      <c r="AF22" s="32">
        <f ca="1" t="shared" si="25"/>
        <v>44.5</v>
      </c>
      <c r="AG22" s="36"/>
      <c r="AH22" s="32">
        <f ca="1" t="shared" si="26"/>
        <v>0.299999999999997</v>
      </c>
      <c r="AI22" s="32">
        <f ca="1" t="shared" si="27"/>
        <v>1.1</v>
      </c>
      <c r="AJ22" s="32">
        <f ca="1" t="shared" si="28"/>
        <v>-0.5</v>
      </c>
      <c r="AK22" s="29">
        <f ca="1" t="shared" si="29"/>
        <v>-0.5</v>
      </c>
      <c r="AL22" s="29">
        <f ca="1" t="shared" si="30"/>
        <v>1.1</v>
      </c>
      <c r="AN22" s="29">
        <f ca="1" t="shared" si="31"/>
        <v>45.4</v>
      </c>
      <c r="AO22" s="29">
        <f ca="1" t="shared" si="32"/>
        <v>45.6</v>
      </c>
      <c r="AP22" s="29">
        <f ca="1" t="shared" si="33"/>
        <v>45.1</v>
      </c>
      <c r="AQ22" s="29"/>
      <c r="AR22" s="32">
        <f ca="1" t="shared" si="34"/>
        <v>0.399999999999999</v>
      </c>
      <c r="AS22" s="32">
        <f ca="1" t="shared" si="6"/>
        <v>0.600000000000001</v>
      </c>
      <c r="AT22" s="32">
        <f ca="1" t="shared" si="7"/>
        <v>0.100000000000001</v>
      </c>
      <c r="AU22" s="29">
        <f ca="1" t="shared" si="35"/>
        <v>0.100000000000001</v>
      </c>
      <c r="AV22" s="29">
        <f ca="1" t="shared" si="36"/>
        <v>0.600000000000001</v>
      </c>
      <c r="AW22" s="29"/>
      <c r="AX22" s="29"/>
    </row>
    <row r="23" spans="3:50">
      <c r="C23" s="8">
        <f>Accuracy!F22</f>
        <v>50</v>
      </c>
      <c r="D23" s="8">
        <f>'Resistor Network'!AB23</f>
        <v>0.187725631768953</v>
      </c>
      <c r="E23" s="8">
        <f>'Resistor Network'!AC23</f>
        <v>0.183377801241167</v>
      </c>
      <c r="F23" s="8">
        <f>'Resistor Network'!AD23</f>
        <v>0.192152291799523</v>
      </c>
      <c r="G23" s="17"/>
      <c r="H23" s="17"/>
      <c r="J23">
        <f t="shared" si="8"/>
        <v>6151</v>
      </c>
      <c r="K23">
        <f t="shared" si="9"/>
        <v>6009</v>
      </c>
      <c r="L23">
        <f t="shared" si="10"/>
        <v>6296</v>
      </c>
      <c r="N23" s="29">
        <f t="shared" si="11"/>
        <v>0.187713623046875</v>
      </c>
      <c r="O23" s="29">
        <f t="shared" si="12"/>
        <v>0.183380126953125</v>
      </c>
      <c r="P23" s="29">
        <f t="shared" si="13"/>
        <v>0.192138671875</v>
      </c>
      <c r="Q23" s="29"/>
      <c r="R23" s="29">
        <f ca="1" t="shared" si="14"/>
        <v>0.564942629594766</v>
      </c>
      <c r="S23" s="29">
        <f ca="1" t="shared" si="15"/>
        <v>0.562090399785925</v>
      </c>
      <c r="T23" s="29">
        <f ca="1" t="shared" si="16"/>
        <v>0.567795214915632</v>
      </c>
      <c r="V23" s="29">
        <f ca="1" t="shared" si="17"/>
        <v>0.564942629594766</v>
      </c>
      <c r="W23" s="29">
        <f ca="1" t="shared" si="18"/>
        <v>0.562090399785925</v>
      </c>
      <c r="X23" s="29">
        <f ca="1" t="shared" si="19"/>
        <v>0.567795214915632</v>
      </c>
      <c r="Z23">
        <f ca="1" t="shared" si="20"/>
        <v>3234.94132268395</v>
      </c>
      <c r="AA23">
        <f ca="1" t="shared" si="21"/>
        <v>3243.67455681346</v>
      </c>
      <c r="AB23">
        <f ca="1" t="shared" si="22"/>
        <v>3226.20688907347</v>
      </c>
      <c r="AC23" s="29"/>
      <c r="AD23" s="32">
        <f ca="1" t="shared" si="23"/>
        <v>50.3</v>
      </c>
      <c r="AE23" s="32">
        <f ca="1" t="shared" si="24"/>
        <v>51.2</v>
      </c>
      <c r="AF23" s="32">
        <f ca="1" t="shared" si="25"/>
        <v>49.5</v>
      </c>
      <c r="AG23" s="36"/>
      <c r="AH23" s="32">
        <f ca="1" t="shared" si="26"/>
        <v>0.299999999999997</v>
      </c>
      <c r="AI23" s="32">
        <f ca="1" t="shared" si="27"/>
        <v>1.2</v>
      </c>
      <c r="AJ23" s="32">
        <f ca="1" t="shared" si="28"/>
        <v>-0.5</v>
      </c>
      <c r="AK23" s="29">
        <f ca="1" t="shared" si="29"/>
        <v>-0.5</v>
      </c>
      <c r="AL23" s="29">
        <f ca="1" t="shared" si="30"/>
        <v>1.2</v>
      </c>
      <c r="AN23" s="29">
        <f ca="1" t="shared" si="31"/>
        <v>50.4</v>
      </c>
      <c r="AO23" s="29">
        <f ca="1" t="shared" si="32"/>
        <v>50.7</v>
      </c>
      <c r="AP23" s="29">
        <f ca="1" t="shared" si="33"/>
        <v>50.1</v>
      </c>
      <c r="AQ23" s="29"/>
      <c r="AR23" s="32">
        <f ca="1" t="shared" si="34"/>
        <v>0.399999999999999</v>
      </c>
      <c r="AS23" s="32">
        <f ca="1" t="shared" si="6"/>
        <v>0.700000000000003</v>
      </c>
      <c r="AT23" s="32">
        <f ca="1" t="shared" si="7"/>
        <v>0.100000000000001</v>
      </c>
      <c r="AU23" s="29">
        <f ca="1" t="shared" si="35"/>
        <v>0.100000000000001</v>
      </c>
      <c r="AV23" s="29">
        <f ca="1" t="shared" si="36"/>
        <v>0.700000000000003</v>
      </c>
      <c r="AW23" s="29"/>
      <c r="AX23" s="29"/>
    </row>
    <row r="24" spans="3:50">
      <c r="C24" s="8">
        <f>Accuracy!F23</f>
        <v>55</v>
      </c>
      <c r="D24" s="8">
        <f>'Resistor Network'!AB24</f>
        <v>0.164190193164933</v>
      </c>
      <c r="E24" s="8">
        <f>'Resistor Network'!AC24</f>
        <v>0.160061283438692</v>
      </c>
      <c r="F24" s="8">
        <f>'Resistor Network'!AD24</f>
        <v>0.168404256916691</v>
      </c>
      <c r="G24" s="17"/>
      <c r="H24" s="17"/>
      <c r="J24">
        <f t="shared" si="8"/>
        <v>5380</v>
      </c>
      <c r="K24">
        <f t="shared" si="9"/>
        <v>5245</v>
      </c>
      <c r="L24">
        <f t="shared" si="10"/>
        <v>5518</v>
      </c>
      <c r="N24" s="29">
        <f t="shared" si="11"/>
        <v>0.1641845703125</v>
      </c>
      <c r="O24" s="29">
        <f t="shared" si="12"/>
        <v>0.160064697265625</v>
      </c>
      <c r="P24" s="29">
        <f t="shared" si="13"/>
        <v>0.16839599609375</v>
      </c>
      <c r="Q24" s="29"/>
      <c r="R24" s="29">
        <f ca="1" t="shared" si="14"/>
        <v>0.548669986005094</v>
      </c>
      <c r="S24" s="29">
        <f ca="1" t="shared" si="15"/>
        <v>0.545600602080732</v>
      </c>
      <c r="T24" s="29">
        <f ca="1" t="shared" si="16"/>
        <v>0.551733789180399</v>
      </c>
      <c r="V24" s="29">
        <f ca="1" t="shared" si="17"/>
        <v>0.548669986005094</v>
      </c>
      <c r="W24" s="29">
        <f ca="1" t="shared" si="18"/>
        <v>0.545600602080732</v>
      </c>
      <c r="X24" s="29">
        <f ca="1" t="shared" si="19"/>
        <v>0.551733789180399</v>
      </c>
      <c r="Z24">
        <f ca="1" t="shared" si="20"/>
        <v>3284.76481840943</v>
      </c>
      <c r="AA24">
        <f ca="1" t="shared" si="21"/>
        <v>3294.16214865629</v>
      </c>
      <c r="AB24">
        <f ca="1" t="shared" si="22"/>
        <v>3275.38440773969</v>
      </c>
      <c r="AC24" s="29"/>
      <c r="AD24" s="32">
        <f ca="1" t="shared" si="23"/>
        <v>55.3</v>
      </c>
      <c r="AE24" s="32">
        <f ca="1" t="shared" si="24"/>
        <v>56.3</v>
      </c>
      <c r="AF24" s="32">
        <f ca="1" t="shared" si="25"/>
        <v>54.4</v>
      </c>
      <c r="AG24" s="36"/>
      <c r="AH24" s="32">
        <f ca="1" t="shared" si="26"/>
        <v>0.299999999999997</v>
      </c>
      <c r="AI24" s="32">
        <f ca="1" t="shared" si="27"/>
        <v>1.3</v>
      </c>
      <c r="AJ24" s="32">
        <f ca="1" t="shared" si="28"/>
        <v>-0.600000000000001</v>
      </c>
      <c r="AK24" s="29">
        <f ca="1" t="shared" si="29"/>
        <v>-0.600000000000001</v>
      </c>
      <c r="AL24" s="29">
        <f ca="1" t="shared" si="30"/>
        <v>1.3</v>
      </c>
      <c r="AN24" s="29">
        <f ca="1" t="shared" si="31"/>
        <v>55.4</v>
      </c>
      <c r="AO24" s="29">
        <f ca="1" t="shared" si="32"/>
        <v>55.8</v>
      </c>
      <c r="AP24" s="29">
        <f ca="1" t="shared" si="33"/>
        <v>55</v>
      </c>
      <c r="AQ24" s="29"/>
      <c r="AR24" s="32">
        <f ca="1" t="shared" si="34"/>
        <v>0.399999999999999</v>
      </c>
      <c r="AS24" s="32">
        <f ca="1" t="shared" si="6"/>
        <v>0.799999999999997</v>
      </c>
      <c r="AT24" s="32">
        <f ca="1" t="shared" si="7"/>
        <v>0</v>
      </c>
      <c r="AU24" s="29">
        <f ca="1" t="shared" si="35"/>
        <v>0</v>
      </c>
      <c r="AV24" s="29">
        <f ca="1" t="shared" si="36"/>
        <v>0.799999999999997</v>
      </c>
      <c r="AW24" s="29"/>
      <c r="AX24" s="29"/>
    </row>
    <row r="25" spans="3:50">
      <c r="C25" s="8">
        <f>Accuracy!F24</f>
        <v>60</v>
      </c>
      <c r="D25" s="8">
        <f>'Resistor Network'!AB25</f>
        <v>0.143672692673644</v>
      </c>
      <c r="E25" s="8">
        <f>'Resistor Network'!AC25</f>
        <v>0.139783551565016</v>
      </c>
      <c r="F25" s="8">
        <f>'Resistor Network'!AD25</f>
        <v>0.147651466809416</v>
      </c>
      <c r="G25" s="17"/>
      <c r="H25" s="17"/>
      <c r="J25">
        <f t="shared" si="8"/>
        <v>4708</v>
      </c>
      <c r="K25">
        <f t="shared" si="9"/>
        <v>4580</v>
      </c>
      <c r="L25">
        <f t="shared" si="10"/>
        <v>4838</v>
      </c>
      <c r="N25" s="29">
        <f t="shared" si="11"/>
        <v>0.1436767578125</v>
      </c>
      <c r="O25" s="29">
        <f t="shared" si="12"/>
        <v>0.1397705078125</v>
      </c>
      <c r="P25" s="29">
        <f t="shared" si="13"/>
        <v>0.14764404296875</v>
      </c>
      <c r="Q25" s="29"/>
      <c r="R25" s="29">
        <f ca="1" t="shared" si="14"/>
        <v>0.532591474229612</v>
      </c>
      <c r="S25" s="29">
        <f ca="1" t="shared" si="15"/>
        <v>0.529276448238134</v>
      </c>
      <c r="T25" s="29">
        <f ca="1" t="shared" si="16"/>
        <v>0.535868304266763</v>
      </c>
      <c r="V25" s="29">
        <f ca="1" t="shared" si="17"/>
        <v>0.532591474229612</v>
      </c>
      <c r="W25" s="29">
        <f ca="1" t="shared" si="18"/>
        <v>0.529276448238134</v>
      </c>
      <c r="X25" s="29">
        <f ca="1" t="shared" si="19"/>
        <v>0.535868304266763</v>
      </c>
      <c r="Z25">
        <f ca="1" t="shared" si="20"/>
        <v>3333.98931404701</v>
      </c>
      <c r="AA25">
        <f ca="1" t="shared" si="21"/>
        <v>3344.13762742312</v>
      </c>
      <c r="AB25">
        <f ca="1" t="shared" si="22"/>
        <v>3323.957694888</v>
      </c>
      <c r="AC25" s="29"/>
      <c r="AD25" s="32">
        <f ca="1" t="shared" si="23"/>
        <v>60.2</v>
      </c>
      <c r="AE25" s="32">
        <f ca="1" t="shared" si="24"/>
        <v>61.3</v>
      </c>
      <c r="AF25" s="32">
        <f ca="1" t="shared" si="25"/>
        <v>59.2</v>
      </c>
      <c r="AG25" s="36"/>
      <c r="AH25" s="32">
        <f ca="1" t="shared" si="26"/>
        <v>0.200000000000003</v>
      </c>
      <c r="AI25" s="32">
        <f ca="1" t="shared" si="27"/>
        <v>1.3</v>
      </c>
      <c r="AJ25" s="32">
        <f ca="1" t="shared" si="28"/>
        <v>-0.799999999999997</v>
      </c>
      <c r="AK25" s="29">
        <f ca="1" t="shared" si="29"/>
        <v>-0.799999999999997</v>
      </c>
      <c r="AL25" s="29">
        <f ca="1" t="shared" si="30"/>
        <v>1.3</v>
      </c>
      <c r="AN25" s="29">
        <f ca="1" t="shared" si="31"/>
        <v>60.3</v>
      </c>
      <c r="AO25" s="29">
        <f ca="1" t="shared" si="32"/>
        <v>60.8</v>
      </c>
      <c r="AP25" s="29">
        <f ca="1" t="shared" si="33"/>
        <v>59.8</v>
      </c>
      <c r="AQ25" s="29"/>
      <c r="AR25" s="32">
        <f ca="1" t="shared" si="34"/>
        <v>0.300000000000004</v>
      </c>
      <c r="AS25" s="32">
        <f ca="1" t="shared" si="6"/>
        <v>0.799999999999997</v>
      </c>
      <c r="AT25" s="32">
        <f ca="1" t="shared" si="7"/>
        <v>-0.199999999999996</v>
      </c>
      <c r="AU25" s="29">
        <f ca="1" t="shared" si="35"/>
        <v>-0.199999999999996</v>
      </c>
      <c r="AV25" s="29">
        <f ca="1" t="shared" si="36"/>
        <v>0.799999999999997</v>
      </c>
      <c r="AW25" s="29"/>
      <c r="AX25" s="29"/>
    </row>
    <row r="26" spans="3:50">
      <c r="C26" s="8">
        <f>Accuracy!F25</f>
        <v>65</v>
      </c>
      <c r="D26" s="8">
        <f>'Resistor Network'!AB26</f>
        <v>0.125704293763357</v>
      </c>
      <c r="E26" s="8">
        <f>'Resistor Network'!AC26</f>
        <v>0.12206658863969</v>
      </c>
      <c r="F26" s="8">
        <f>'Resistor Network'!AD26</f>
        <v>0.129434423537334</v>
      </c>
      <c r="G26" s="17"/>
      <c r="H26" s="17"/>
      <c r="J26">
        <f t="shared" si="8"/>
        <v>4119</v>
      </c>
      <c r="K26">
        <f t="shared" si="9"/>
        <v>4000</v>
      </c>
      <c r="L26">
        <f t="shared" si="10"/>
        <v>4241</v>
      </c>
      <c r="N26" s="29">
        <f t="shared" si="11"/>
        <v>0.125701904296875</v>
      </c>
      <c r="O26" s="29">
        <f t="shared" si="12"/>
        <v>0.1220703125</v>
      </c>
      <c r="P26" s="29">
        <f t="shared" si="13"/>
        <v>0.129425048828125</v>
      </c>
      <c r="Q26" s="29"/>
      <c r="R26" s="29">
        <f ca="1" t="shared" si="14"/>
        <v>0.516509712625007</v>
      </c>
      <c r="S26" s="29">
        <f ca="1" t="shared" si="15"/>
        <v>0.512974690201666</v>
      </c>
      <c r="T26" s="29">
        <f ca="1" t="shared" si="16"/>
        <v>0.520025326380588</v>
      </c>
      <c r="V26" s="29">
        <f ca="1" t="shared" si="17"/>
        <v>0.516509712625007</v>
      </c>
      <c r="W26" s="29">
        <f ca="1" t="shared" si="18"/>
        <v>0.512974690201666</v>
      </c>
      <c r="X26" s="29">
        <f ca="1" t="shared" si="19"/>
        <v>0.520025326380588</v>
      </c>
      <c r="Z26">
        <f ca="1" t="shared" si="20"/>
        <v>3383.21812495462</v>
      </c>
      <c r="AA26">
        <f ca="1" t="shared" si="21"/>
        <v>3394.03852723511</v>
      </c>
      <c r="AB26">
        <f ca="1" t="shared" si="22"/>
        <v>3372.45681068483</v>
      </c>
      <c r="AC26" s="29"/>
      <c r="AD26" s="32">
        <f ca="1" t="shared" si="23"/>
        <v>65.2</v>
      </c>
      <c r="AE26" s="32">
        <f ca="1" t="shared" si="24"/>
        <v>66.3</v>
      </c>
      <c r="AF26" s="32">
        <f ca="1" t="shared" si="25"/>
        <v>64.1</v>
      </c>
      <c r="AG26" s="36"/>
      <c r="AH26" s="32">
        <f ca="1" t="shared" si="26"/>
        <v>0.200000000000003</v>
      </c>
      <c r="AI26" s="32">
        <f ca="1" t="shared" si="27"/>
        <v>1.3</v>
      </c>
      <c r="AJ26" s="32">
        <f ca="1" t="shared" si="28"/>
        <v>-0.900000000000006</v>
      </c>
      <c r="AK26" s="29">
        <f ca="1" t="shared" si="29"/>
        <v>-0.900000000000006</v>
      </c>
      <c r="AL26" s="29">
        <f ca="1" t="shared" si="30"/>
        <v>1.3</v>
      </c>
      <c r="AN26" s="29">
        <f ca="1" t="shared" si="31"/>
        <v>65.3</v>
      </c>
      <c r="AO26" s="29">
        <f ca="1" t="shared" si="32"/>
        <v>65.8</v>
      </c>
      <c r="AP26" s="29">
        <f ca="1" t="shared" si="33"/>
        <v>64.7</v>
      </c>
      <c r="AQ26" s="29"/>
      <c r="AR26" s="32">
        <f ca="1" t="shared" si="34"/>
        <v>0.300000000000011</v>
      </c>
      <c r="AS26" s="32">
        <f ca="1" t="shared" si="6"/>
        <v>0.799999999999997</v>
      </c>
      <c r="AT26" s="32">
        <f ca="1" t="shared" si="7"/>
        <v>-0.300000000000011</v>
      </c>
      <c r="AU26" s="29">
        <f ca="1" t="shared" si="35"/>
        <v>-0.300000000000011</v>
      </c>
      <c r="AV26" s="29">
        <f ca="1" t="shared" si="36"/>
        <v>0.799999999999997</v>
      </c>
      <c r="AW26" s="29"/>
      <c r="AX26" s="29"/>
    </row>
    <row r="27" spans="3:50">
      <c r="C27" s="8">
        <f>Accuracy!F26</f>
        <v>70</v>
      </c>
      <c r="D27" s="8">
        <f>'Resistor Network'!AB27</f>
        <v>0.110144354360293</v>
      </c>
      <c r="E27" s="8">
        <f>'Resistor Network'!AC27</f>
        <v>0.106758957406836</v>
      </c>
      <c r="F27" s="8">
        <f>'Resistor Network'!AD27</f>
        <v>0.113623448777597</v>
      </c>
      <c r="G27" s="17"/>
      <c r="H27" s="17"/>
      <c r="J27">
        <f t="shared" si="8"/>
        <v>3609</v>
      </c>
      <c r="K27">
        <f t="shared" si="9"/>
        <v>3498</v>
      </c>
      <c r="L27">
        <f t="shared" si="10"/>
        <v>3723</v>
      </c>
      <c r="N27" s="29">
        <f t="shared" si="11"/>
        <v>0.110137939453125</v>
      </c>
      <c r="O27" s="29">
        <f t="shared" si="12"/>
        <v>0.10675048828125</v>
      </c>
      <c r="P27" s="29">
        <f t="shared" si="13"/>
        <v>0.113616943359375</v>
      </c>
      <c r="Q27" s="29"/>
      <c r="R27" s="29">
        <f ca="1" t="shared" si="14"/>
        <v>0.500522823318139</v>
      </c>
      <c r="S27" s="29">
        <f ca="1" t="shared" si="15"/>
        <v>0.496721529038574</v>
      </c>
      <c r="T27" s="29">
        <f ca="1" t="shared" si="16"/>
        <v>0.504296965365754</v>
      </c>
      <c r="V27" s="29">
        <f ca="1" t="shared" si="17"/>
        <v>0.500522823318139</v>
      </c>
      <c r="W27" s="29">
        <f ca="1" t="shared" si="18"/>
        <v>0.496721529038574</v>
      </c>
      <c r="X27" s="29">
        <f ca="1" t="shared" si="19"/>
        <v>0.504296965365754</v>
      </c>
      <c r="Z27">
        <f ca="1" t="shared" si="20"/>
        <v>3432.14989514068</v>
      </c>
      <c r="AA27">
        <f ca="1" t="shared" si="21"/>
        <v>3443.78359767186</v>
      </c>
      <c r="AB27">
        <f ca="1" t="shared" si="22"/>
        <v>3420.59886387167</v>
      </c>
      <c r="AC27" s="29"/>
      <c r="AD27" s="32">
        <f ca="1" t="shared" si="23"/>
        <v>70.1</v>
      </c>
      <c r="AE27" s="32">
        <f ca="1" t="shared" si="24"/>
        <v>71.2</v>
      </c>
      <c r="AF27" s="32">
        <f ca="1" t="shared" si="25"/>
        <v>68.9</v>
      </c>
      <c r="AG27" s="36"/>
      <c r="AH27" s="32">
        <f ca="1" t="shared" si="26"/>
        <v>0.0999999999999943</v>
      </c>
      <c r="AI27" s="32">
        <f ca="1" t="shared" si="27"/>
        <v>1.2</v>
      </c>
      <c r="AJ27" s="32">
        <f ca="1" t="shared" si="28"/>
        <v>-1.09999999999999</v>
      </c>
      <c r="AK27" s="29">
        <f ca="1" t="shared" si="29"/>
        <v>-1.09999999999999</v>
      </c>
      <c r="AL27" s="29">
        <f ca="1" t="shared" si="30"/>
        <v>1.2</v>
      </c>
      <c r="AN27" s="29">
        <f ca="1" t="shared" si="31"/>
        <v>70.2</v>
      </c>
      <c r="AO27" s="29">
        <f ca="1" t="shared" si="32"/>
        <v>70.7</v>
      </c>
      <c r="AP27" s="29">
        <f ca="1" t="shared" si="33"/>
        <v>69.5</v>
      </c>
      <c r="AQ27" s="29"/>
      <c r="AR27" s="32">
        <f ca="1" t="shared" si="34"/>
        <v>0.199999999999989</v>
      </c>
      <c r="AS27" s="32">
        <f ca="1" t="shared" si="6"/>
        <v>0.700000000000003</v>
      </c>
      <c r="AT27" s="32">
        <f ca="1" t="shared" si="7"/>
        <v>-0.5</v>
      </c>
      <c r="AU27" s="29">
        <f ca="1" t="shared" si="35"/>
        <v>-0.5</v>
      </c>
      <c r="AV27" s="29">
        <f ca="1" t="shared" si="36"/>
        <v>0.700000000000003</v>
      </c>
      <c r="AW27" s="29"/>
      <c r="AX27" s="29"/>
    </row>
    <row r="28" spans="3:50">
      <c r="C28" s="8">
        <f>Accuracy!F27</f>
        <v>75</v>
      </c>
      <c r="D28" s="8">
        <f>'Resistor Network'!AB28</f>
        <v>0.0965669544268219</v>
      </c>
      <c r="E28" s="8">
        <f>'Resistor Network'!AC28</f>
        <v>0.0934306686914487</v>
      </c>
      <c r="F28" s="8">
        <f>'Resistor Network'!AD28</f>
        <v>0.09979692985146</v>
      </c>
      <c r="G28" s="17"/>
      <c r="H28" s="17"/>
      <c r="J28">
        <f t="shared" si="8"/>
        <v>3164</v>
      </c>
      <c r="K28">
        <f t="shared" si="9"/>
        <v>3062</v>
      </c>
      <c r="L28">
        <f t="shared" si="10"/>
        <v>3270</v>
      </c>
      <c r="N28" s="29">
        <f t="shared" si="11"/>
        <v>0.0965576171875</v>
      </c>
      <c r="O28" s="29">
        <f t="shared" si="12"/>
        <v>0.09344482421875</v>
      </c>
      <c r="P28" s="29">
        <f t="shared" si="13"/>
        <v>0.09979248046875</v>
      </c>
      <c r="Q28" s="29"/>
      <c r="R28" s="29">
        <f ca="1" t="shared" si="14"/>
        <v>0.484427341118552</v>
      </c>
      <c r="S28" s="29">
        <f ca="1" t="shared" si="15"/>
        <v>0.480381117216879</v>
      </c>
      <c r="T28" s="29">
        <f ca="1" t="shared" si="16"/>
        <v>0.488479643652338</v>
      </c>
      <c r="V28" s="29">
        <f ca="1" t="shared" si="17"/>
        <v>0.484427341118552</v>
      </c>
      <c r="W28" s="29">
        <f ca="1" t="shared" si="18"/>
        <v>0.480381117216879</v>
      </c>
      <c r="X28" s="29">
        <f ca="1" t="shared" si="19"/>
        <v>0.488479643652338</v>
      </c>
      <c r="Z28">
        <f ca="1" t="shared" si="20"/>
        <v>3481.40632627853</v>
      </c>
      <c r="AA28">
        <f ca="1" t="shared" si="21"/>
        <v>3493.78750009392</v>
      </c>
      <c r="AB28">
        <f ca="1" t="shared" si="22"/>
        <v>3469.0059956063</v>
      </c>
      <c r="AC28" s="29"/>
      <c r="AD28" s="32">
        <f ca="1" t="shared" si="23"/>
        <v>75</v>
      </c>
      <c r="AE28" s="32">
        <f ca="1" t="shared" si="24"/>
        <v>76.2</v>
      </c>
      <c r="AF28" s="32">
        <f ca="1" t="shared" si="25"/>
        <v>73.8</v>
      </c>
      <c r="AG28" s="36"/>
      <c r="AH28" s="32">
        <f ca="1" t="shared" si="26"/>
        <v>0</v>
      </c>
      <c r="AI28" s="32">
        <f ca="1" t="shared" si="27"/>
        <v>1.2</v>
      </c>
      <c r="AJ28" s="32">
        <f ca="1" t="shared" si="28"/>
        <v>-1.2</v>
      </c>
      <c r="AK28" s="29">
        <f ca="1" t="shared" si="29"/>
        <v>-1.2</v>
      </c>
      <c r="AL28" s="29">
        <f ca="1" t="shared" si="30"/>
        <v>1.2</v>
      </c>
      <c r="AN28" s="29">
        <f ca="1" t="shared" si="31"/>
        <v>75.1</v>
      </c>
      <c r="AO28" s="29">
        <f ca="1" t="shared" si="32"/>
        <v>75.7</v>
      </c>
      <c r="AP28" s="29">
        <f ca="1" t="shared" si="33"/>
        <v>74.4</v>
      </c>
      <c r="AQ28" s="29"/>
      <c r="AR28" s="32">
        <f ca="1" t="shared" si="34"/>
        <v>0.0999999999999943</v>
      </c>
      <c r="AS28" s="32">
        <f ca="1" t="shared" si="6"/>
        <v>0.700000000000003</v>
      </c>
      <c r="AT28" s="32">
        <f ca="1" t="shared" si="7"/>
        <v>-0.599999999999994</v>
      </c>
      <c r="AU28" s="29">
        <f ca="1" t="shared" si="35"/>
        <v>-0.599999999999994</v>
      </c>
      <c r="AV28" s="29">
        <f ca="1" t="shared" si="36"/>
        <v>0.700000000000003</v>
      </c>
      <c r="AW28" s="29"/>
      <c r="AX28" s="29"/>
    </row>
    <row r="29" spans="3:50">
      <c r="C29" s="8">
        <f>Accuracy!F28</f>
        <v>80</v>
      </c>
      <c r="D29" s="8">
        <f>'Resistor Network'!AB29</f>
        <v>0.0848078096400244</v>
      </c>
      <c r="E29" s="8">
        <f>'Resistor Network'!AC29</f>
        <v>0.0819113252685756</v>
      </c>
      <c r="F29" s="8">
        <f>'Resistor Network'!AD29</f>
        <v>0.0877969224877893</v>
      </c>
      <c r="G29" s="17"/>
      <c r="H29" s="17"/>
      <c r="J29">
        <f t="shared" si="8"/>
        <v>2779</v>
      </c>
      <c r="K29">
        <f t="shared" si="9"/>
        <v>2684</v>
      </c>
      <c r="L29">
        <f t="shared" si="10"/>
        <v>2877</v>
      </c>
      <c r="N29" s="29">
        <f t="shared" si="11"/>
        <v>0.084808349609375</v>
      </c>
      <c r="O29" s="29">
        <f t="shared" si="12"/>
        <v>0.0819091796875</v>
      </c>
      <c r="P29" s="29">
        <f t="shared" si="13"/>
        <v>0.087799072265625</v>
      </c>
      <c r="Q29" s="29"/>
      <c r="R29" s="29">
        <f ca="1" t="shared" si="14"/>
        <v>0.468298447997675</v>
      </c>
      <c r="S29" s="29">
        <f ca="1" t="shared" si="15"/>
        <v>0.463921550225203</v>
      </c>
      <c r="T29" s="29">
        <f ca="1" t="shared" si="16"/>
        <v>0.472636088904414</v>
      </c>
      <c r="V29" s="29">
        <f ca="1" t="shared" si="17"/>
        <v>0.468298447997675</v>
      </c>
      <c r="W29" s="29">
        <f ca="1" t="shared" si="18"/>
        <v>0.463921550225203</v>
      </c>
      <c r="X29" s="29">
        <f ca="1" t="shared" si="19"/>
        <v>0.472636088904414</v>
      </c>
      <c r="Z29">
        <f ca="1" t="shared" si="20"/>
        <v>3530.75618697006</v>
      </c>
      <c r="AA29">
        <f ca="1" t="shared" si="21"/>
        <v>3544.14659832722</v>
      </c>
      <c r="AB29">
        <f ca="1" t="shared" si="22"/>
        <v>3517.48515758834</v>
      </c>
      <c r="AC29" s="29"/>
      <c r="AD29" s="32">
        <f ca="1" t="shared" si="23"/>
        <v>79.9</v>
      </c>
      <c r="AE29" s="32">
        <f ca="1" t="shared" si="24"/>
        <v>81.3</v>
      </c>
      <c r="AF29" s="32">
        <f ca="1" t="shared" si="25"/>
        <v>78.6</v>
      </c>
      <c r="AG29" s="36"/>
      <c r="AH29" s="32">
        <f ca="1" t="shared" si="26"/>
        <v>-0.0999999999999943</v>
      </c>
      <c r="AI29" s="32">
        <f ca="1" t="shared" si="27"/>
        <v>1.3</v>
      </c>
      <c r="AJ29" s="32">
        <f ca="1" t="shared" si="28"/>
        <v>-1.40000000000001</v>
      </c>
      <c r="AK29" s="29">
        <f ca="1" t="shared" si="29"/>
        <v>-1.40000000000001</v>
      </c>
      <c r="AL29" s="29">
        <f ca="1" t="shared" si="30"/>
        <v>1.3</v>
      </c>
      <c r="AN29" s="29">
        <f ca="1" t="shared" si="31"/>
        <v>80</v>
      </c>
      <c r="AO29" s="29">
        <f ca="1" t="shared" si="32"/>
        <v>80.8</v>
      </c>
      <c r="AP29" s="29">
        <f ca="1" t="shared" si="33"/>
        <v>79.2</v>
      </c>
      <c r="AQ29" s="29"/>
      <c r="AR29" s="32">
        <f ca="1" t="shared" si="34"/>
        <v>0</v>
      </c>
      <c r="AS29" s="32">
        <f ca="1" t="shared" si="6"/>
        <v>0.799999999999997</v>
      </c>
      <c r="AT29" s="32">
        <f ca="1" t="shared" si="7"/>
        <v>-0.800000000000011</v>
      </c>
      <c r="AU29" s="29">
        <f ca="1" t="shared" si="35"/>
        <v>-0.800000000000011</v>
      </c>
      <c r="AV29" s="29">
        <f ca="1" t="shared" si="36"/>
        <v>0.799999999999997</v>
      </c>
      <c r="AW29" s="29"/>
      <c r="AX29" s="29"/>
    </row>
    <row r="30" spans="3:50">
      <c r="C30" s="8">
        <f>Accuracy!F29</f>
        <v>85</v>
      </c>
      <c r="D30" s="8">
        <f>'Resistor Network'!AB30</f>
        <v>0.074597707058763</v>
      </c>
      <c r="E30" s="8">
        <f>'Resistor Network'!AC30</f>
        <v>0.0719293968748749</v>
      </c>
      <c r="F30" s="8">
        <f>'Resistor Network'!AD30</f>
        <v>0.077356750958425</v>
      </c>
      <c r="G30" s="17"/>
      <c r="H30" s="17"/>
      <c r="J30">
        <f t="shared" si="8"/>
        <v>2444</v>
      </c>
      <c r="K30">
        <f t="shared" si="9"/>
        <v>2357</v>
      </c>
      <c r="L30">
        <f t="shared" si="10"/>
        <v>2535</v>
      </c>
      <c r="N30" s="29">
        <f t="shared" si="11"/>
        <v>0.0745849609375</v>
      </c>
      <c r="O30" s="29">
        <f t="shared" si="12"/>
        <v>0.071929931640625</v>
      </c>
      <c r="P30" s="29">
        <f t="shared" si="13"/>
        <v>0.077362060546875</v>
      </c>
      <c r="Q30" s="29"/>
      <c r="R30" s="29">
        <f ca="1" t="shared" si="14"/>
        <v>0.452009046985013</v>
      </c>
      <c r="S30" s="29">
        <f ca="1" t="shared" si="15"/>
        <v>0.447347629691243</v>
      </c>
      <c r="T30" s="29">
        <f ca="1" t="shared" si="16"/>
        <v>0.456680645079716</v>
      </c>
      <c r="V30" s="29">
        <f ca="1" t="shared" si="17"/>
        <v>0.452009046985013</v>
      </c>
      <c r="W30" s="29">
        <f ca="1" t="shared" si="18"/>
        <v>0.447347629691243</v>
      </c>
      <c r="X30" s="29">
        <f ca="1" t="shared" si="19"/>
        <v>0.456680645079716</v>
      </c>
      <c r="Z30">
        <f ca="1" t="shared" si="20"/>
        <v>3580.58712249068</v>
      </c>
      <c r="AA30">
        <f ca="1" t="shared" si="21"/>
        <v>3594.84486464718</v>
      </c>
      <c r="AB30">
        <f ca="1" t="shared" si="22"/>
        <v>3566.29732298654</v>
      </c>
      <c r="AC30" s="29"/>
      <c r="AD30" s="32">
        <f ca="1" t="shared" si="23"/>
        <v>84.9</v>
      </c>
      <c r="AE30" s="32">
        <f ca="1" t="shared" si="24"/>
        <v>86.3</v>
      </c>
      <c r="AF30" s="32">
        <f ca="1" t="shared" si="25"/>
        <v>83.5</v>
      </c>
      <c r="AG30" s="36"/>
      <c r="AH30" s="32">
        <f ca="1" t="shared" si="26"/>
        <v>-0.0999999999999943</v>
      </c>
      <c r="AI30" s="32">
        <f ca="1" t="shared" si="27"/>
        <v>1.3</v>
      </c>
      <c r="AJ30" s="32">
        <f ca="1" t="shared" si="28"/>
        <v>-1.5</v>
      </c>
      <c r="AK30" s="29">
        <f ca="1" t="shared" si="29"/>
        <v>-1.5</v>
      </c>
      <c r="AL30" s="29">
        <f ca="1" t="shared" si="30"/>
        <v>1.3</v>
      </c>
      <c r="AM30" s="16"/>
      <c r="AN30" s="29">
        <f ca="1" t="shared" si="31"/>
        <v>85</v>
      </c>
      <c r="AO30" s="29">
        <f ca="1" t="shared" si="32"/>
        <v>85.8</v>
      </c>
      <c r="AP30" s="29">
        <f ca="1" t="shared" si="33"/>
        <v>84.1</v>
      </c>
      <c r="AQ30" s="37"/>
      <c r="AR30" s="32">
        <f ca="1" t="shared" si="34"/>
        <v>0</v>
      </c>
      <c r="AS30" s="32">
        <f ca="1" t="shared" si="6"/>
        <v>0.799999999999997</v>
      </c>
      <c r="AT30" s="32">
        <f ca="1" t="shared" si="7"/>
        <v>-0.900000000000006</v>
      </c>
      <c r="AU30" s="29">
        <f ca="1" t="shared" si="35"/>
        <v>-0.900000000000006</v>
      </c>
      <c r="AV30" s="29">
        <f ca="1" t="shared" si="36"/>
        <v>0.799999999999997</v>
      </c>
      <c r="AW30" s="29"/>
      <c r="AX30" s="29"/>
    </row>
    <row r="31" spans="3:50">
      <c r="C31" s="8">
        <f>Accuracy!F30</f>
        <v>90</v>
      </c>
      <c r="D31" s="8">
        <f>'Resistor Network'!AB31</f>
        <v>0.0657116163189038</v>
      </c>
      <c r="E31" s="8">
        <f>'Resistor Network'!AC31</f>
        <v>0.0632585313589173</v>
      </c>
      <c r="F31" s="8">
        <f>'Resistor Network'!AD31</f>
        <v>0.0682528975930792</v>
      </c>
      <c r="G31" s="17"/>
      <c r="H31" s="17"/>
      <c r="J31">
        <f t="shared" si="8"/>
        <v>2153</v>
      </c>
      <c r="K31">
        <f t="shared" si="9"/>
        <v>2073</v>
      </c>
      <c r="L31">
        <f t="shared" si="10"/>
        <v>2237</v>
      </c>
      <c r="N31" s="29">
        <f t="shared" si="11"/>
        <v>0.065704345703125</v>
      </c>
      <c r="O31" s="29">
        <f t="shared" si="12"/>
        <v>0.063262939453125</v>
      </c>
      <c r="P31" s="29">
        <f t="shared" si="13"/>
        <v>0.068267822265625</v>
      </c>
      <c r="Q31" s="29"/>
      <c r="R31" s="29">
        <f ca="1" t="shared" si="14"/>
        <v>0.435571705186514</v>
      </c>
      <c r="S31" s="29">
        <f ca="1" t="shared" si="15"/>
        <v>0.430587775534421</v>
      </c>
      <c r="T31" s="29">
        <f ca="1" t="shared" si="16"/>
        <v>0.440574095492034</v>
      </c>
      <c r="V31" s="29">
        <f ca="1" t="shared" si="17"/>
        <v>0.435571705186514</v>
      </c>
      <c r="W31" s="29">
        <f ca="1" t="shared" si="18"/>
        <v>0.430587775534421</v>
      </c>
      <c r="X31" s="29">
        <f ca="1" t="shared" si="19"/>
        <v>0.440574095492034</v>
      </c>
      <c r="Z31">
        <f ca="1" t="shared" si="20"/>
        <v>3630.85929862731</v>
      </c>
      <c r="AA31">
        <f ca="1" t="shared" si="21"/>
        <v>3646.09979597733</v>
      </c>
      <c r="AB31">
        <f ca="1" t="shared" si="22"/>
        <v>3615.56119510073</v>
      </c>
      <c r="AC31" s="29"/>
      <c r="AD31" s="32">
        <f ca="1" t="shared" si="23"/>
        <v>89.9</v>
      </c>
      <c r="AE31" s="32">
        <f ca="1" t="shared" si="24"/>
        <v>91.5</v>
      </c>
      <c r="AF31" s="32">
        <f ca="1" t="shared" si="25"/>
        <v>88.4</v>
      </c>
      <c r="AG31" s="36"/>
      <c r="AH31" s="32">
        <f ca="1" t="shared" si="26"/>
        <v>-0.0999999999999943</v>
      </c>
      <c r="AI31" s="32">
        <f ca="1" t="shared" si="27"/>
        <v>1.5</v>
      </c>
      <c r="AJ31" s="32">
        <f ca="1" t="shared" si="28"/>
        <v>-1.59999999999999</v>
      </c>
      <c r="AK31" s="29">
        <f ca="1" t="shared" si="29"/>
        <v>-1.59999999999999</v>
      </c>
      <c r="AL31" s="29">
        <f ca="1" t="shared" si="30"/>
        <v>1.5</v>
      </c>
      <c r="AM31" s="16"/>
      <c r="AN31" s="29">
        <f ca="1" t="shared" si="31"/>
        <v>90</v>
      </c>
      <c r="AO31" s="29">
        <f ca="1" t="shared" si="32"/>
        <v>91</v>
      </c>
      <c r="AP31" s="29">
        <f ca="1" t="shared" si="33"/>
        <v>89</v>
      </c>
      <c r="AQ31" s="37"/>
      <c r="AR31" s="32">
        <f ca="1" t="shared" si="34"/>
        <v>0</v>
      </c>
      <c r="AS31" s="32">
        <f ca="1" t="shared" si="6"/>
        <v>1</v>
      </c>
      <c r="AT31" s="32">
        <f ca="1" t="shared" si="7"/>
        <v>-1</v>
      </c>
      <c r="AU31" s="29">
        <f ca="1" t="shared" si="35"/>
        <v>-1</v>
      </c>
      <c r="AV31" s="29">
        <f ca="1" t="shared" si="36"/>
        <v>1</v>
      </c>
      <c r="AW31" s="29"/>
      <c r="AX31" s="29"/>
    </row>
    <row r="32" spans="3:50">
      <c r="C32" s="8">
        <f>Accuracy!F31</f>
        <v>95</v>
      </c>
      <c r="D32" s="8">
        <f>'Resistor Network'!AB32</f>
        <v>0.0579861837973624</v>
      </c>
      <c r="E32" s="8">
        <f>'Resistor Network'!AC32</f>
        <v>0.0557340742659825</v>
      </c>
      <c r="F32" s="8">
        <f>'Resistor Network'!AD32</f>
        <v>0.0603234831866922</v>
      </c>
      <c r="G32" s="17"/>
      <c r="H32" s="17"/>
      <c r="J32">
        <f t="shared" si="8"/>
        <v>1900</v>
      </c>
      <c r="K32">
        <f t="shared" si="9"/>
        <v>1826</v>
      </c>
      <c r="L32">
        <f t="shared" si="10"/>
        <v>1977</v>
      </c>
      <c r="N32" s="29">
        <f t="shared" si="11"/>
        <v>0.0579833984375</v>
      </c>
      <c r="O32" s="29">
        <f t="shared" si="12"/>
        <v>0.05572509765625</v>
      </c>
      <c r="P32" s="29">
        <f t="shared" si="13"/>
        <v>0.060333251953125</v>
      </c>
      <c r="Q32" s="29"/>
      <c r="R32" s="29">
        <f ca="1" t="shared" si="14"/>
        <v>0.418984081380532</v>
      </c>
      <c r="S32" s="29">
        <f ca="1" t="shared" si="15"/>
        <v>0.413632053655214</v>
      </c>
      <c r="T32" s="29">
        <f ca="1" t="shared" si="16"/>
        <v>0.424297199980754</v>
      </c>
      <c r="V32" s="29">
        <f ca="1" t="shared" si="17"/>
        <v>0.418984081380532</v>
      </c>
      <c r="W32" s="29">
        <f ca="1" t="shared" si="18"/>
        <v>0.413632053655214</v>
      </c>
      <c r="X32" s="29">
        <f ca="1" t="shared" si="19"/>
        <v>0.424297199980754</v>
      </c>
      <c r="Z32">
        <f ca="1" t="shared" si="20"/>
        <v>3681.57843156455</v>
      </c>
      <c r="AA32">
        <f ca="1" t="shared" si="21"/>
        <v>3697.94014974704</v>
      </c>
      <c r="AB32">
        <f ca="1" t="shared" si="22"/>
        <v>3665.33423420823</v>
      </c>
      <c r="AC32" s="29"/>
      <c r="AD32" s="32">
        <f ca="1" t="shared" si="23"/>
        <v>95</v>
      </c>
      <c r="AE32" s="32">
        <f ca="1" t="shared" si="24"/>
        <v>96.6</v>
      </c>
      <c r="AF32" s="32">
        <f ca="1" t="shared" si="25"/>
        <v>93.4</v>
      </c>
      <c r="AG32" s="36"/>
      <c r="AH32" s="32">
        <f ca="1" t="shared" si="26"/>
        <v>0</v>
      </c>
      <c r="AI32" s="32">
        <f ca="1" t="shared" si="27"/>
        <v>1.59999999999999</v>
      </c>
      <c r="AJ32" s="32">
        <f ca="1" t="shared" si="28"/>
        <v>-1.59999999999999</v>
      </c>
      <c r="AK32" s="29">
        <f ca="1" t="shared" si="29"/>
        <v>-1.59999999999999</v>
      </c>
      <c r="AL32" s="29">
        <f ca="1" t="shared" si="30"/>
        <v>1.59999999999999</v>
      </c>
      <c r="AM32" s="16"/>
      <c r="AN32" s="29">
        <f ca="1" t="shared" si="31"/>
        <v>95.1</v>
      </c>
      <c r="AO32" s="29">
        <f ca="1" t="shared" si="32"/>
        <v>96.1</v>
      </c>
      <c r="AP32" s="29">
        <f ca="1" t="shared" si="33"/>
        <v>94</v>
      </c>
      <c r="AQ32" s="37"/>
      <c r="AR32" s="32">
        <f ca="1" t="shared" si="34"/>
        <v>0.0999999999999943</v>
      </c>
      <c r="AS32" s="32">
        <f ca="1" t="shared" si="6"/>
        <v>1.09999999999999</v>
      </c>
      <c r="AT32" s="32">
        <f ca="1" t="shared" si="7"/>
        <v>-1</v>
      </c>
      <c r="AU32" s="29">
        <f ca="1" t="shared" si="35"/>
        <v>-1</v>
      </c>
      <c r="AV32" s="29">
        <f ca="1" t="shared" si="36"/>
        <v>1.09999999999999</v>
      </c>
      <c r="AW32" s="29"/>
      <c r="AX32" s="29"/>
    </row>
    <row r="33" spans="3:50">
      <c r="C33" s="8">
        <f>Accuracy!F32</f>
        <v>100</v>
      </c>
      <c r="D33" s="8">
        <f>'Resistor Network'!AB33</f>
        <v>0.0512884030548513</v>
      </c>
      <c r="E33" s="8">
        <f>'Resistor Network'!AC33</f>
        <v>0.0492220248889424</v>
      </c>
      <c r="F33" s="8">
        <f>'Resistor Network'!AD33</f>
        <v>0.0534366538404951</v>
      </c>
      <c r="G33" s="17"/>
      <c r="H33" s="17"/>
      <c r="J33">
        <f t="shared" si="8"/>
        <v>1681</v>
      </c>
      <c r="K33">
        <f t="shared" si="9"/>
        <v>1613</v>
      </c>
      <c r="L33">
        <f t="shared" si="10"/>
        <v>1751</v>
      </c>
      <c r="N33" s="29">
        <f t="shared" si="11"/>
        <v>0.051300048828125</v>
      </c>
      <c r="O33" s="29">
        <f t="shared" si="12"/>
        <v>0.049224853515625</v>
      </c>
      <c r="P33" s="29">
        <f t="shared" si="13"/>
        <v>0.053436279296875</v>
      </c>
      <c r="Q33" s="29"/>
      <c r="R33" s="29">
        <f ca="1" t="shared" si="14"/>
        <v>0.402361047487126</v>
      </c>
      <c r="S33" s="29">
        <f ca="1" t="shared" si="15"/>
        <v>0.396674300569074</v>
      </c>
      <c r="T33" s="29">
        <f ca="1" t="shared" si="16"/>
        <v>0.407939553099476</v>
      </c>
      <c r="V33" s="29">
        <f ca="1" t="shared" si="17"/>
        <v>0.402361047487126</v>
      </c>
      <c r="W33" s="29">
        <f ca="1" t="shared" si="18"/>
        <v>0.396674300569074</v>
      </c>
      <c r="X33" s="29">
        <f ca="1" t="shared" si="19"/>
        <v>0.407939553099476</v>
      </c>
      <c r="Z33">
        <f ca="1" t="shared" si="20"/>
        <v>3732.39191892329</v>
      </c>
      <c r="AA33">
        <f ca="1" t="shared" si="21"/>
        <v>3749.77182882024</v>
      </c>
      <c r="AB33">
        <f ca="1" t="shared" si="22"/>
        <v>3715.34110144799</v>
      </c>
      <c r="AC33" s="29"/>
      <c r="AD33" s="32">
        <f ca="1" t="shared" si="23"/>
        <v>100.1</v>
      </c>
      <c r="AE33" s="32">
        <f ca="1" t="shared" si="24"/>
        <v>101.8</v>
      </c>
      <c r="AF33" s="32">
        <f ca="1" t="shared" si="25"/>
        <v>98.4</v>
      </c>
      <c r="AG33" s="36"/>
      <c r="AH33" s="32">
        <f ca="1" t="shared" si="26"/>
        <v>0.0999999999999943</v>
      </c>
      <c r="AI33" s="32">
        <f ca="1" t="shared" si="27"/>
        <v>1.8</v>
      </c>
      <c r="AJ33" s="32">
        <f ca="1" t="shared" si="28"/>
        <v>-1.59999999999999</v>
      </c>
      <c r="AK33" s="29">
        <f ca="1" t="shared" si="29"/>
        <v>-1.59999999999999</v>
      </c>
      <c r="AL33" s="29">
        <f ca="1" t="shared" si="30"/>
        <v>1.8</v>
      </c>
      <c r="AM33" s="16"/>
      <c r="AN33" s="29">
        <f ca="1" t="shared" si="31"/>
        <v>100.2</v>
      </c>
      <c r="AO33" s="29">
        <f ca="1" t="shared" si="32"/>
        <v>101.3</v>
      </c>
      <c r="AP33" s="29">
        <f ca="1" t="shared" si="33"/>
        <v>99</v>
      </c>
      <c r="AQ33" s="37"/>
      <c r="AR33" s="32">
        <f ca="1" t="shared" si="34"/>
        <v>0.199999999999989</v>
      </c>
      <c r="AS33" s="32">
        <f ca="1" t="shared" si="6"/>
        <v>1.3</v>
      </c>
      <c r="AT33" s="32">
        <f ca="1" t="shared" si="7"/>
        <v>-1</v>
      </c>
      <c r="AU33" s="29">
        <f ca="1" t="shared" si="35"/>
        <v>-1</v>
      </c>
      <c r="AV33" s="29">
        <f ca="1" t="shared" si="36"/>
        <v>1.3</v>
      </c>
      <c r="AW33" s="29"/>
      <c r="AX33" s="29"/>
    </row>
    <row r="34" spans="3:50">
      <c r="C34" s="8">
        <f>Accuracy!F33</f>
        <v>105</v>
      </c>
      <c r="D34" s="8">
        <f>'Resistor Network'!AB34</f>
        <v>0.0454574380077636</v>
      </c>
      <c r="E34" s="8">
        <f>'Resistor Network'!AC34</f>
        <v>0.0435623177068767</v>
      </c>
      <c r="F34" s="8">
        <f>'Resistor Network'!AD34</f>
        <v>0.0474309144476569</v>
      </c>
      <c r="G34" s="17"/>
      <c r="H34" s="17"/>
      <c r="J34">
        <f t="shared" si="8"/>
        <v>1490</v>
      </c>
      <c r="K34">
        <f t="shared" si="9"/>
        <v>1427</v>
      </c>
      <c r="L34">
        <f t="shared" si="10"/>
        <v>1554</v>
      </c>
      <c r="N34" s="29">
        <f t="shared" si="11"/>
        <v>0.04547119140625</v>
      </c>
      <c r="O34" s="29">
        <f t="shared" si="12"/>
        <v>0.043548583984375</v>
      </c>
      <c r="P34" s="29">
        <f t="shared" si="13"/>
        <v>0.04742431640625</v>
      </c>
      <c r="Q34" s="29"/>
      <c r="R34" s="29">
        <f ca="1" t="shared" si="14"/>
        <v>0.385639696439686</v>
      </c>
      <c r="S34" s="29">
        <f ca="1" t="shared" si="15"/>
        <v>0.379570887009778</v>
      </c>
      <c r="T34" s="29">
        <f ca="1" t="shared" si="16"/>
        <v>0.391508199603182</v>
      </c>
      <c r="V34" s="29">
        <f ca="1" t="shared" si="17"/>
        <v>0.385639696439686</v>
      </c>
      <c r="W34" s="29">
        <f ca="1" t="shared" si="18"/>
        <v>0.379570887009778</v>
      </c>
      <c r="X34" s="29">
        <f ca="1" t="shared" si="19"/>
        <v>0.391508199603182</v>
      </c>
      <c r="Z34">
        <f ca="1" t="shared" si="20"/>
        <v>3783.49071815057</v>
      </c>
      <c r="AA34">
        <f ca="1" t="shared" si="21"/>
        <v>3802.03239536765</v>
      </c>
      <c r="AB34">
        <f ca="1" t="shared" si="22"/>
        <v>3765.55896407149</v>
      </c>
      <c r="AC34" s="29"/>
      <c r="AD34" s="32">
        <f ca="1" t="shared" si="23"/>
        <v>105.2</v>
      </c>
      <c r="AE34" s="32">
        <f ca="1" t="shared" si="24"/>
        <v>107.1</v>
      </c>
      <c r="AF34" s="32">
        <f ca="1" t="shared" si="25"/>
        <v>103.4</v>
      </c>
      <c r="AG34" s="36"/>
      <c r="AH34" s="32">
        <f ca="1" t="shared" si="26"/>
        <v>0.200000000000003</v>
      </c>
      <c r="AI34" s="32">
        <f ca="1" t="shared" si="27"/>
        <v>2.09999999999999</v>
      </c>
      <c r="AJ34" s="32">
        <f ca="1" t="shared" si="28"/>
        <v>-1.59999999999999</v>
      </c>
      <c r="AK34" s="29">
        <f ca="1" t="shared" si="29"/>
        <v>-1.59999999999999</v>
      </c>
      <c r="AL34" s="29">
        <f ca="1" t="shared" si="30"/>
        <v>2.09999999999999</v>
      </c>
      <c r="AM34" s="16"/>
      <c r="AN34" s="29">
        <f ca="1" t="shared" si="31"/>
        <v>105.3</v>
      </c>
      <c r="AO34" s="29">
        <f ca="1" t="shared" si="32"/>
        <v>106.6</v>
      </c>
      <c r="AP34" s="29">
        <f ca="1" t="shared" si="33"/>
        <v>104</v>
      </c>
      <c r="AQ34" s="37"/>
      <c r="AR34" s="32">
        <f ca="1" t="shared" si="34"/>
        <v>0.300000000000011</v>
      </c>
      <c r="AS34" s="32">
        <f ca="1" t="shared" si="6"/>
        <v>1.59999999999999</v>
      </c>
      <c r="AT34" s="32">
        <f ca="1" t="shared" si="7"/>
        <v>-1</v>
      </c>
      <c r="AU34" s="29">
        <f ca="1" t="shared" si="35"/>
        <v>-1</v>
      </c>
      <c r="AV34" s="29">
        <f ca="1" t="shared" si="36"/>
        <v>1.59999999999999</v>
      </c>
      <c r="AW34" s="29"/>
      <c r="AX34" s="29"/>
    </row>
    <row r="35" spans="3:50">
      <c r="C35" s="8">
        <f>Accuracy!F34</f>
        <v>110</v>
      </c>
      <c r="D35" s="8">
        <f>'Resistor Network'!AB35</f>
        <v>0.0403889623405979</v>
      </c>
      <c r="E35" s="8">
        <f>'Resistor Network'!AC35</f>
        <v>0.038650659957484</v>
      </c>
      <c r="F35" s="8">
        <f>'Resistor Network'!AD35</f>
        <v>0.0422020123892432</v>
      </c>
      <c r="G35" s="17"/>
      <c r="H35" s="17"/>
      <c r="J35">
        <f t="shared" si="8"/>
        <v>1323</v>
      </c>
      <c r="K35">
        <f t="shared" si="9"/>
        <v>1267</v>
      </c>
      <c r="L35">
        <f t="shared" si="10"/>
        <v>1383</v>
      </c>
      <c r="N35" s="29">
        <f t="shared" si="11"/>
        <v>0.040374755859375</v>
      </c>
      <c r="O35" s="29">
        <f t="shared" si="12"/>
        <v>0.038665771484375</v>
      </c>
      <c r="P35" s="29">
        <f t="shared" si="13"/>
        <v>0.042205810546875</v>
      </c>
      <c r="Q35" s="29"/>
      <c r="R35" s="29">
        <f ca="1" t="shared" si="14"/>
        <v>0.368847697738502</v>
      </c>
      <c r="S35" s="29">
        <f ca="1" t="shared" ref="S35:T40" si="37">O35/($R$42*O35^4+$R$43*O35^3+$R$44*O35^2+$R$45*O35+$R$46)*2^14</f>
        <v>0.362669619843446</v>
      </c>
      <c r="T35" s="29">
        <f ca="1" t="shared" si="37"/>
        <v>0.375146693279568</v>
      </c>
      <c r="V35" s="29">
        <f ca="1" t="shared" si="17"/>
        <v>0.368847697738502</v>
      </c>
      <c r="W35" s="29">
        <f ca="1" t="shared" si="18"/>
        <v>0.362669619843446</v>
      </c>
      <c r="X35" s="29">
        <f ca="1" t="shared" si="19"/>
        <v>0.375146693279568</v>
      </c>
      <c r="Z35">
        <f ca="1" t="shared" si="20"/>
        <v>3834.78885764942</v>
      </c>
      <c r="AA35">
        <f ca="1" t="shared" si="21"/>
        <v>3853.6579539437</v>
      </c>
      <c r="AB35">
        <f ca="1" t="shared" si="22"/>
        <v>3815.5479772085</v>
      </c>
      <c r="AC35" s="34"/>
      <c r="AD35" s="32">
        <f ca="1" t="shared" si="23"/>
        <v>110.3</v>
      </c>
      <c r="AE35" s="32">
        <f ca="1" t="shared" si="24"/>
        <v>112.2</v>
      </c>
      <c r="AF35" s="32">
        <f ca="1" t="shared" si="25"/>
        <v>108.4</v>
      </c>
      <c r="AG35" s="36"/>
      <c r="AH35" s="32">
        <f ca="1" t="shared" si="26"/>
        <v>0.299999999999997</v>
      </c>
      <c r="AI35" s="32">
        <f ca="1" t="shared" si="27"/>
        <v>2.2</v>
      </c>
      <c r="AJ35" s="32">
        <f ca="1" t="shared" si="28"/>
        <v>-1.59999999999999</v>
      </c>
      <c r="AK35" s="29">
        <f ca="1" t="shared" si="29"/>
        <v>-1.59999999999999</v>
      </c>
      <c r="AL35" s="29">
        <f ca="1" t="shared" si="30"/>
        <v>2.2</v>
      </c>
      <c r="AM35" s="16"/>
      <c r="AN35" s="29">
        <f ca="1" t="shared" si="31"/>
        <v>110.4</v>
      </c>
      <c r="AO35" s="29">
        <f ca="1" t="shared" si="32"/>
        <v>111.7</v>
      </c>
      <c r="AP35" s="29">
        <f ca="1" t="shared" si="33"/>
        <v>109</v>
      </c>
      <c r="AQ35" s="37"/>
      <c r="AR35" s="32">
        <f ca="1" t="shared" si="34"/>
        <v>0.400000000000006</v>
      </c>
      <c r="AS35" s="32">
        <f ca="1" t="shared" si="6"/>
        <v>1.7</v>
      </c>
      <c r="AT35" s="32">
        <f ca="1" t="shared" si="7"/>
        <v>-1</v>
      </c>
      <c r="AU35" s="29">
        <f ca="1" t="shared" si="35"/>
        <v>-1</v>
      </c>
      <c r="AV35" s="29">
        <f ca="1" t="shared" si="36"/>
        <v>1.7</v>
      </c>
      <c r="AW35" s="29"/>
      <c r="AX35" s="29"/>
    </row>
    <row r="36" spans="3:50">
      <c r="C36" s="8">
        <f>Accuracy!F35</f>
        <v>115</v>
      </c>
      <c r="D36" s="8">
        <f>'Resistor Network'!AB36</f>
        <v>0</v>
      </c>
      <c r="E36" s="8" t="e">
        <f>'Resistor Network'!AC36</f>
        <v>#NUM!</v>
      </c>
      <c r="F36" s="8" t="e">
        <f>'Resistor Network'!AD36</f>
        <v>#NUM!</v>
      </c>
      <c r="G36" s="17"/>
      <c r="H36" s="17"/>
      <c r="J36">
        <f t="shared" ref="J36:L40" si="38">ROUND(D36*2^$K$2,0)</f>
        <v>0</v>
      </c>
      <c r="K36" t="e">
        <f t="shared" si="38"/>
        <v>#NUM!</v>
      </c>
      <c r="L36" t="e">
        <f t="shared" si="38"/>
        <v>#NUM!</v>
      </c>
      <c r="N36" s="29">
        <f t="shared" ref="N36:P40" si="39">J36/2^15</f>
        <v>0</v>
      </c>
      <c r="O36" s="29" t="e">
        <f t="shared" si="39"/>
        <v>#NUM!</v>
      </c>
      <c r="P36" s="29" t="e">
        <f t="shared" si="39"/>
        <v>#NUM!</v>
      </c>
      <c r="Q36" s="29"/>
      <c r="R36" s="29">
        <f ca="1" t="shared" si="14"/>
        <v>0</v>
      </c>
      <c r="S36" s="29" t="e">
        <f ca="1" t="shared" si="37"/>
        <v>#NUM!</v>
      </c>
      <c r="T36" s="29" t="e">
        <f ca="1" t="shared" si="37"/>
        <v>#NUM!</v>
      </c>
      <c r="V36" s="29">
        <f ca="1" t="shared" ref="V36:X40" si="40">R36</f>
        <v>0</v>
      </c>
      <c r="W36" s="29" t="e">
        <f ca="1" t="shared" si="40"/>
        <v>#NUM!</v>
      </c>
      <c r="X36" s="29" t="e">
        <f ca="1" t="shared" si="40"/>
        <v>#NUM!</v>
      </c>
      <c r="Z36">
        <f ca="1" t="shared" ref="Z36:AB40" si="41">$Z$43*V36^3+$Z$44*V36^2+$Z$45*V36+$Z$46</f>
        <v>4955</v>
      </c>
      <c r="AA36" t="e">
        <f ca="1" t="shared" si="41"/>
        <v>#NUM!</v>
      </c>
      <c r="AB36" t="e">
        <f ca="1" t="shared" si="41"/>
        <v>#NUM!</v>
      </c>
      <c r="AC36" s="34"/>
      <c r="AD36" s="32">
        <f ca="1" t="shared" ref="AD36:AF40" si="42">ROUND(Z36/10-273.15,1)</f>
        <v>222.4</v>
      </c>
      <c r="AE36" s="32" t="e">
        <f ca="1" t="shared" si="42"/>
        <v>#NUM!</v>
      </c>
      <c r="AF36" s="32" t="e">
        <f ca="1" t="shared" si="42"/>
        <v>#NUM!</v>
      </c>
      <c r="AG36" s="36"/>
      <c r="AH36" s="32">
        <f ca="1" t="shared" ref="AH36:AJ40" si="43">AD36-$C36</f>
        <v>107.4</v>
      </c>
      <c r="AI36" s="32" t="e">
        <f ca="1" t="shared" si="43"/>
        <v>#NUM!</v>
      </c>
      <c r="AJ36" s="32" t="e">
        <f ca="1" t="shared" si="43"/>
        <v>#NUM!</v>
      </c>
      <c r="AK36" s="29" t="e">
        <f ca="1" t="shared" si="29"/>
        <v>#NUM!</v>
      </c>
      <c r="AL36" s="29" t="e">
        <f ca="1" t="shared" si="30"/>
        <v>#NUM!</v>
      </c>
      <c r="AM36" s="16"/>
      <c r="AN36" s="29">
        <f ca="1" t="shared" si="31"/>
        <v>222.5</v>
      </c>
      <c r="AO36" s="29" t="e">
        <f ca="1" t="shared" si="32"/>
        <v>#NUM!</v>
      </c>
      <c r="AP36" s="29" t="e">
        <f ca="1" t="shared" si="33"/>
        <v>#NUM!</v>
      </c>
      <c r="AQ36" s="37"/>
      <c r="AR36" s="32">
        <f ca="1" t="shared" ref="AR36:AT40" si="44">AN36-$C36</f>
        <v>107.5</v>
      </c>
      <c r="AS36" s="32" t="e">
        <f ca="1" t="shared" si="44"/>
        <v>#NUM!</v>
      </c>
      <c r="AT36" s="32" t="e">
        <f ca="1" t="shared" si="44"/>
        <v>#NUM!</v>
      </c>
      <c r="AU36" s="29" t="e">
        <f ca="1" t="shared" si="35"/>
        <v>#NUM!</v>
      </c>
      <c r="AV36" s="29" t="e">
        <f ca="1" t="shared" si="36"/>
        <v>#NUM!</v>
      </c>
      <c r="AW36" s="29"/>
      <c r="AX36" s="29"/>
    </row>
    <row r="37" spans="3:50">
      <c r="C37" s="8">
        <f>Accuracy!F36</f>
        <v>0</v>
      </c>
      <c r="D37" s="8">
        <f>'Resistor Network'!AB37</f>
        <v>0</v>
      </c>
      <c r="E37" s="8" t="e">
        <f>'Resistor Network'!AC37</f>
        <v>#NUM!</v>
      </c>
      <c r="F37" s="8" t="e">
        <f>'Resistor Network'!AD37</f>
        <v>#NUM!</v>
      </c>
      <c r="G37" s="17"/>
      <c r="H37" s="17"/>
      <c r="J37">
        <f t="shared" si="38"/>
        <v>0</v>
      </c>
      <c r="K37" t="e">
        <f t="shared" si="38"/>
        <v>#NUM!</v>
      </c>
      <c r="L37" t="e">
        <f t="shared" si="38"/>
        <v>#NUM!</v>
      </c>
      <c r="N37" s="29">
        <f t="shared" si="39"/>
        <v>0</v>
      </c>
      <c r="O37" s="29" t="e">
        <f t="shared" si="39"/>
        <v>#NUM!</v>
      </c>
      <c r="P37" s="29" t="e">
        <f t="shared" si="39"/>
        <v>#NUM!</v>
      </c>
      <c r="Q37" s="29"/>
      <c r="R37" s="29">
        <f ca="1" t="shared" si="14"/>
        <v>0</v>
      </c>
      <c r="S37" s="29" t="e">
        <f ca="1" t="shared" si="37"/>
        <v>#NUM!</v>
      </c>
      <c r="T37" s="29" t="e">
        <f ca="1" t="shared" si="37"/>
        <v>#NUM!</v>
      </c>
      <c r="V37" s="29">
        <f ca="1" t="shared" si="40"/>
        <v>0</v>
      </c>
      <c r="W37" s="29" t="e">
        <f ca="1" t="shared" si="40"/>
        <v>#NUM!</v>
      </c>
      <c r="X37" s="29" t="e">
        <f ca="1" t="shared" si="40"/>
        <v>#NUM!</v>
      </c>
      <c r="Z37">
        <f ca="1" t="shared" si="41"/>
        <v>4955</v>
      </c>
      <c r="AA37" t="e">
        <f ca="1" t="shared" si="41"/>
        <v>#NUM!</v>
      </c>
      <c r="AB37" t="e">
        <f ca="1" t="shared" si="41"/>
        <v>#NUM!</v>
      </c>
      <c r="AC37" s="34"/>
      <c r="AD37" s="32">
        <f ca="1" t="shared" si="42"/>
        <v>222.4</v>
      </c>
      <c r="AE37" s="32" t="e">
        <f ca="1" t="shared" si="42"/>
        <v>#NUM!</v>
      </c>
      <c r="AF37" s="32" t="e">
        <f ca="1" t="shared" si="42"/>
        <v>#NUM!</v>
      </c>
      <c r="AG37" s="36"/>
      <c r="AH37" s="32">
        <f ca="1" t="shared" si="43"/>
        <v>222.4</v>
      </c>
      <c r="AI37" s="32" t="e">
        <f ca="1" t="shared" si="43"/>
        <v>#NUM!</v>
      </c>
      <c r="AJ37" s="32" t="e">
        <f ca="1" t="shared" si="43"/>
        <v>#NUM!</v>
      </c>
      <c r="AK37" s="29" t="e">
        <f ca="1" t="shared" si="29"/>
        <v>#NUM!</v>
      </c>
      <c r="AL37" s="29" t="e">
        <f ca="1" t="shared" si="30"/>
        <v>#NUM!</v>
      </c>
      <c r="AM37" s="16"/>
      <c r="AN37" s="29">
        <f ca="1" t="shared" si="31"/>
        <v>222.5</v>
      </c>
      <c r="AO37" s="29" t="e">
        <f ca="1" t="shared" si="32"/>
        <v>#NUM!</v>
      </c>
      <c r="AP37" s="29" t="e">
        <f ca="1" t="shared" si="33"/>
        <v>#NUM!</v>
      </c>
      <c r="AQ37" s="37"/>
      <c r="AR37" s="32">
        <f ca="1" t="shared" si="44"/>
        <v>222.5</v>
      </c>
      <c r="AS37" s="32" t="e">
        <f ca="1" t="shared" si="44"/>
        <v>#NUM!</v>
      </c>
      <c r="AT37" s="32" t="e">
        <f ca="1" t="shared" si="44"/>
        <v>#NUM!</v>
      </c>
      <c r="AU37" s="29" t="e">
        <f ca="1" t="shared" si="35"/>
        <v>#NUM!</v>
      </c>
      <c r="AV37" s="29" t="e">
        <f ca="1" t="shared" si="36"/>
        <v>#NUM!</v>
      </c>
      <c r="AW37" s="29"/>
      <c r="AX37" s="29"/>
    </row>
    <row r="38" spans="3:50">
      <c r="C38" s="8">
        <f>Accuracy!F37</f>
        <v>0</v>
      </c>
      <c r="D38" s="8">
        <f>'Resistor Network'!AB38</f>
        <v>0</v>
      </c>
      <c r="E38" s="8" t="e">
        <f>'Resistor Network'!AC38</f>
        <v>#NUM!</v>
      </c>
      <c r="F38" s="8" t="e">
        <f>'Resistor Network'!AD38</f>
        <v>#NUM!</v>
      </c>
      <c r="G38" s="17"/>
      <c r="H38" s="17"/>
      <c r="J38">
        <f t="shared" si="38"/>
        <v>0</v>
      </c>
      <c r="K38" t="e">
        <f t="shared" si="38"/>
        <v>#NUM!</v>
      </c>
      <c r="L38" t="e">
        <f t="shared" si="38"/>
        <v>#NUM!</v>
      </c>
      <c r="N38" s="29">
        <f t="shared" si="39"/>
        <v>0</v>
      </c>
      <c r="O38" s="29" t="e">
        <f t="shared" si="39"/>
        <v>#NUM!</v>
      </c>
      <c r="P38" s="29" t="e">
        <f t="shared" si="39"/>
        <v>#NUM!</v>
      </c>
      <c r="Q38" s="29"/>
      <c r="R38" s="29">
        <f ca="1" t="shared" si="14"/>
        <v>0</v>
      </c>
      <c r="S38" s="29" t="e">
        <f ca="1" t="shared" si="37"/>
        <v>#NUM!</v>
      </c>
      <c r="T38" s="29" t="e">
        <f ca="1" t="shared" si="37"/>
        <v>#NUM!</v>
      </c>
      <c r="V38" s="29">
        <f ca="1" t="shared" si="40"/>
        <v>0</v>
      </c>
      <c r="W38" s="29" t="e">
        <f ca="1" t="shared" si="40"/>
        <v>#NUM!</v>
      </c>
      <c r="X38" s="29" t="e">
        <f ca="1" t="shared" si="40"/>
        <v>#NUM!</v>
      </c>
      <c r="Z38">
        <f ca="1" t="shared" si="41"/>
        <v>4955</v>
      </c>
      <c r="AA38" t="e">
        <f ca="1" t="shared" si="41"/>
        <v>#NUM!</v>
      </c>
      <c r="AB38" t="e">
        <f ca="1" t="shared" si="41"/>
        <v>#NUM!</v>
      </c>
      <c r="AC38" s="34"/>
      <c r="AD38" s="32">
        <f ca="1" t="shared" si="42"/>
        <v>222.4</v>
      </c>
      <c r="AE38" s="32" t="e">
        <f ca="1" t="shared" si="42"/>
        <v>#NUM!</v>
      </c>
      <c r="AF38" s="32" t="e">
        <f ca="1" t="shared" si="42"/>
        <v>#NUM!</v>
      </c>
      <c r="AG38" s="36"/>
      <c r="AH38" s="32">
        <f ca="1" t="shared" si="43"/>
        <v>222.4</v>
      </c>
      <c r="AI38" s="32" t="e">
        <f ca="1" t="shared" si="43"/>
        <v>#NUM!</v>
      </c>
      <c r="AJ38" s="32" t="e">
        <f ca="1" t="shared" si="43"/>
        <v>#NUM!</v>
      </c>
      <c r="AK38" s="29" t="e">
        <f ca="1" t="shared" si="29"/>
        <v>#NUM!</v>
      </c>
      <c r="AL38" s="29" t="e">
        <f ca="1" t="shared" si="30"/>
        <v>#NUM!</v>
      </c>
      <c r="AM38" s="16"/>
      <c r="AN38" s="29">
        <f ca="1" t="shared" si="31"/>
        <v>222.5</v>
      </c>
      <c r="AO38" s="29" t="e">
        <f ca="1" t="shared" si="32"/>
        <v>#NUM!</v>
      </c>
      <c r="AP38" s="29" t="e">
        <f ca="1" t="shared" si="33"/>
        <v>#NUM!</v>
      </c>
      <c r="AQ38" s="37"/>
      <c r="AR38" s="32">
        <f ca="1" t="shared" si="44"/>
        <v>222.5</v>
      </c>
      <c r="AS38" s="32" t="e">
        <f ca="1" t="shared" si="44"/>
        <v>#NUM!</v>
      </c>
      <c r="AT38" s="32" t="e">
        <f ca="1" t="shared" si="44"/>
        <v>#NUM!</v>
      </c>
      <c r="AU38" s="29" t="e">
        <f ca="1" t="shared" si="35"/>
        <v>#NUM!</v>
      </c>
      <c r="AV38" s="29" t="e">
        <f ca="1" t="shared" si="36"/>
        <v>#NUM!</v>
      </c>
      <c r="AW38" s="29"/>
      <c r="AX38" s="29"/>
    </row>
    <row r="39" spans="3:50">
      <c r="C39" s="8">
        <f>Accuracy!F38</f>
        <v>0</v>
      </c>
      <c r="D39" s="8">
        <f>'Resistor Network'!AB39</f>
        <v>0</v>
      </c>
      <c r="E39" s="8" t="e">
        <f>'Resistor Network'!AC39</f>
        <v>#NUM!</v>
      </c>
      <c r="F39" s="8" t="e">
        <f>'Resistor Network'!AD39</f>
        <v>#NUM!</v>
      </c>
      <c r="G39" s="17"/>
      <c r="H39" s="17"/>
      <c r="J39">
        <f t="shared" si="38"/>
        <v>0</v>
      </c>
      <c r="K39" t="e">
        <f t="shared" si="38"/>
        <v>#NUM!</v>
      </c>
      <c r="L39" t="e">
        <f t="shared" si="38"/>
        <v>#NUM!</v>
      </c>
      <c r="N39" s="29">
        <f t="shared" si="39"/>
        <v>0</v>
      </c>
      <c r="O39" s="29" t="e">
        <f t="shared" si="39"/>
        <v>#NUM!</v>
      </c>
      <c r="P39" s="29" t="e">
        <f t="shared" si="39"/>
        <v>#NUM!</v>
      </c>
      <c r="Q39" s="29"/>
      <c r="R39" s="29">
        <f ca="1" t="shared" si="14"/>
        <v>0</v>
      </c>
      <c r="S39" s="29" t="e">
        <f ca="1" t="shared" si="37"/>
        <v>#NUM!</v>
      </c>
      <c r="T39" s="29" t="e">
        <f ca="1" t="shared" si="37"/>
        <v>#NUM!</v>
      </c>
      <c r="V39" s="29">
        <f ca="1" t="shared" si="40"/>
        <v>0</v>
      </c>
      <c r="W39" s="29" t="e">
        <f ca="1" t="shared" si="40"/>
        <v>#NUM!</v>
      </c>
      <c r="X39" s="29" t="e">
        <f ca="1" t="shared" si="40"/>
        <v>#NUM!</v>
      </c>
      <c r="Z39">
        <f ca="1" t="shared" si="41"/>
        <v>4955</v>
      </c>
      <c r="AA39" t="e">
        <f ca="1" t="shared" si="41"/>
        <v>#NUM!</v>
      </c>
      <c r="AB39" t="e">
        <f ca="1" t="shared" si="41"/>
        <v>#NUM!</v>
      </c>
      <c r="AC39" s="34"/>
      <c r="AD39" s="32">
        <f ca="1" t="shared" si="42"/>
        <v>222.4</v>
      </c>
      <c r="AE39" s="32" t="e">
        <f ca="1" t="shared" si="42"/>
        <v>#NUM!</v>
      </c>
      <c r="AF39" s="32" t="e">
        <f ca="1" t="shared" si="42"/>
        <v>#NUM!</v>
      </c>
      <c r="AG39" s="36"/>
      <c r="AH39" s="32">
        <f ca="1" t="shared" si="43"/>
        <v>222.4</v>
      </c>
      <c r="AI39" s="32" t="e">
        <f ca="1" t="shared" si="43"/>
        <v>#NUM!</v>
      </c>
      <c r="AJ39" s="32" t="e">
        <f ca="1" t="shared" si="43"/>
        <v>#NUM!</v>
      </c>
      <c r="AK39" s="29" t="e">
        <f ca="1" t="shared" si="29"/>
        <v>#NUM!</v>
      </c>
      <c r="AL39" s="29" t="e">
        <f ca="1" t="shared" si="30"/>
        <v>#NUM!</v>
      </c>
      <c r="AM39" s="16"/>
      <c r="AN39" s="29">
        <f ca="1" t="shared" si="31"/>
        <v>222.5</v>
      </c>
      <c r="AO39" s="29" t="e">
        <f ca="1" t="shared" si="32"/>
        <v>#NUM!</v>
      </c>
      <c r="AP39" s="29" t="e">
        <f ca="1" t="shared" si="33"/>
        <v>#NUM!</v>
      </c>
      <c r="AQ39" s="37"/>
      <c r="AR39" s="32">
        <f ca="1" t="shared" si="44"/>
        <v>222.5</v>
      </c>
      <c r="AS39" s="32" t="e">
        <f ca="1" t="shared" si="44"/>
        <v>#NUM!</v>
      </c>
      <c r="AT39" s="32" t="e">
        <f ca="1" t="shared" si="44"/>
        <v>#NUM!</v>
      </c>
      <c r="AU39" s="29" t="e">
        <f ca="1" t="shared" si="35"/>
        <v>#NUM!</v>
      </c>
      <c r="AV39" s="29" t="e">
        <f ca="1" t="shared" si="36"/>
        <v>#NUM!</v>
      </c>
      <c r="AW39" s="29"/>
      <c r="AX39" s="29"/>
    </row>
    <row r="40" spans="3:50">
      <c r="C40" s="8">
        <f>Accuracy!F39</f>
        <v>0</v>
      </c>
      <c r="D40" s="8">
        <f>'Resistor Network'!AB40</f>
        <v>0</v>
      </c>
      <c r="E40" s="8" t="e">
        <f>'Resistor Network'!AC40</f>
        <v>#NUM!</v>
      </c>
      <c r="F40" s="8" t="e">
        <f>'Resistor Network'!AD40</f>
        <v>#NUM!</v>
      </c>
      <c r="G40" s="17"/>
      <c r="H40" s="17"/>
      <c r="J40">
        <f t="shared" si="38"/>
        <v>0</v>
      </c>
      <c r="K40" t="e">
        <f t="shared" si="38"/>
        <v>#NUM!</v>
      </c>
      <c r="L40" t="e">
        <f t="shared" si="38"/>
        <v>#NUM!</v>
      </c>
      <c r="N40" s="29">
        <f t="shared" si="39"/>
        <v>0</v>
      </c>
      <c r="O40" s="29" t="e">
        <f t="shared" si="39"/>
        <v>#NUM!</v>
      </c>
      <c r="P40" s="29" t="e">
        <f t="shared" si="39"/>
        <v>#NUM!</v>
      </c>
      <c r="Q40" s="29"/>
      <c r="R40" s="29">
        <f ca="1" t="shared" si="14"/>
        <v>0</v>
      </c>
      <c r="S40" s="29" t="e">
        <f ca="1" t="shared" si="37"/>
        <v>#NUM!</v>
      </c>
      <c r="T40" s="29" t="e">
        <f ca="1" t="shared" si="37"/>
        <v>#NUM!</v>
      </c>
      <c r="V40" s="29">
        <f ca="1" t="shared" si="40"/>
        <v>0</v>
      </c>
      <c r="W40" s="29" t="e">
        <f ca="1" t="shared" si="40"/>
        <v>#NUM!</v>
      </c>
      <c r="X40" s="29" t="e">
        <f ca="1" t="shared" si="40"/>
        <v>#NUM!</v>
      </c>
      <c r="Z40">
        <f ca="1" t="shared" si="41"/>
        <v>4955</v>
      </c>
      <c r="AA40" t="e">
        <f ca="1" t="shared" si="41"/>
        <v>#NUM!</v>
      </c>
      <c r="AB40" t="e">
        <f ca="1" t="shared" si="41"/>
        <v>#NUM!</v>
      </c>
      <c r="AC40" s="34"/>
      <c r="AD40" s="32">
        <f ca="1" t="shared" si="42"/>
        <v>222.4</v>
      </c>
      <c r="AE40" s="32" t="e">
        <f ca="1" t="shared" si="42"/>
        <v>#NUM!</v>
      </c>
      <c r="AF40" s="32" t="e">
        <f ca="1" t="shared" si="42"/>
        <v>#NUM!</v>
      </c>
      <c r="AG40" s="36"/>
      <c r="AH40" s="32">
        <f ca="1" t="shared" si="43"/>
        <v>222.4</v>
      </c>
      <c r="AI40" s="32" t="e">
        <f ca="1" t="shared" si="43"/>
        <v>#NUM!</v>
      </c>
      <c r="AJ40" s="32" t="e">
        <f ca="1" t="shared" si="43"/>
        <v>#NUM!</v>
      </c>
      <c r="AK40" s="29" t="e">
        <f ca="1" t="shared" si="29"/>
        <v>#NUM!</v>
      </c>
      <c r="AL40" s="29" t="e">
        <f ca="1" t="shared" si="30"/>
        <v>#NUM!</v>
      </c>
      <c r="AM40" s="16"/>
      <c r="AN40" s="29">
        <f ca="1" t="shared" si="31"/>
        <v>222.5</v>
      </c>
      <c r="AO40" s="29" t="e">
        <f ca="1" t="shared" si="32"/>
        <v>#NUM!</v>
      </c>
      <c r="AP40" s="29" t="e">
        <f ca="1" t="shared" si="33"/>
        <v>#NUM!</v>
      </c>
      <c r="AQ40" s="37"/>
      <c r="AR40" s="32">
        <f ca="1" t="shared" si="44"/>
        <v>222.5</v>
      </c>
      <c r="AS40" s="32" t="e">
        <f ca="1" t="shared" si="44"/>
        <v>#NUM!</v>
      </c>
      <c r="AT40" s="32" t="e">
        <f ca="1" t="shared" si="44"/>
        <v>#NUM!</v>
      </c>
      <c r="AU40" s="29" t="e">
        <f ca="1" t="shared" si="35"/>
        <v>#NUM!</v>
      </c>
      <c r="AV40" s="29" t="e">
        <f ca="1" t="shared" si="36"/>
        <v>#NUM!</v>
      </c>
      <c r="AW40" s="29"/>
      <c r="AX40" s="29"/>
    </row>
    <row r="41" spans="7:43">
      <c r="G41" s="16"/>
      <c r="H41" s="16"/>
      <c r="AA41" s="17"/>
      <c r="AB41" s="17"/>
      <c r="AC41" s="17"/>
      <c r="AM41" s="16"/>
      <c r="AN41" s="16"/>
      <c r="AO41" s="16"/>
      <c r="AP41" s="16"/>
      <c r="AQ41" s="16"/>
    </row>
    <row r="42" spans="17:43">
      <c r="Q42" s="8" t="s">
        <v>104</v>
      </c>
      <c r="R42" s="8">
        <f ca="1">ROUND('best fit'!T43,0)</f>
        <v>-16011</v>
      </c>
      <c r="AA42" s="17"/>
      <c r="AB42" s="35"/>
      <c r="AC42" s="17"/>
      <c r="AM42" s="16"/>
      <c r="AN42" s="37"/>
      <c r="AO42" s="16"/>
      <c r="AP42" s="16"/>
      <c r="AQ42" s="16"/>
    </row>
    <row r="43" spans="17:43">
      <c r="Q43" s="8" t="s">
        <v>105</v>
      </c>
      <c r="R43" s="8">
        <f ca="1">ROUND('best fit'!U43,0)</f>
        <v>27432</v>
      </c>
      <c r="Y43" s="8" t="s">
        <v>106</v>
      </c>
      <c r="Z43" s="8">
        <f ca="1">ROUND('best fit'!AD43,0)</f>
        <v>42</v>
      </c>
      <c r="AC43" s="17"/>
      <c r="AM43" s="16"/>
      <c r="AN43" s="16"/>
      <c r="AO43" s="16"/>
      <c r="AP43" s="16"/>
      <c r="AQ43" s="16"/>
    </row>
    <row r="44" spans="17:43">
      <c r="Q44" s="8" t="s">
        <v>107</v>
      </c>
      <c r="R44" s="8">
        <f ca="1">ROUND('best fit'!V43,0)</f>
        <v>-23370</v>
      </c>
      <c r="Y44" s="8" t="s">
        <v>108</v>
      </c>
      <c r="Z44" s="8">
        <f ca="1">ROUND('best fit'!AE43,0)</f>
        <v>-78</v>
      </c>
      <c r="AC44" s="17"/>
      <c r="AM44" s="16"/>
      <c r="AN44" s="16"/>
      <c r="AO44" s="16"/>
      <c r="AP44" s="16"/>
      <c r="AQ44" s="16"/>
    </row>
    <row r="45" spans="17:43">
      <c r="Q45" s="8" t="s">
        <v>109</v>
      </c>
      <c r="R45" s="8">
        <f ca="1">ROUND('best fit'!W43,0)</f>
        <v>29022</v>
      </c>
      <c r="Y45" s="8" t="s">
        <v>110</v>
      </c>
      <c r="Z45" s="8">
        <f ca="1">ROUND('best fit'!AF43,0)</f>
        <v>-3014</v>
      </c>
      <c r="AC45" s="17"/>
      <c r="AM45" s="16"/>
      <c r="AN45" s="16"/>
      <c r="AO45" s="16"/>
      <c r="AP45" s="16"/>
      <c r="AQ45" s="16"/>
    </row>
    <row r="46" spans="17:43">
      <c r="Q46" s="8" t="s">
        <v>111</v>
      </c>
      <c r="R46" s="8">
        <f ca="1">ROUND('best fit'!X43,0)</f>
        <v>658</v>
      </c>
      <c r="Y46" s="8" t="s">
        <v>112</v>
      </c>
      <c r="Z46" s="8">
        <f ca="1">ROUND('best fit'!AG43,0)</f>
        <v>4955</v>
      </c>
      <c r="AC46" s="17"/>
      <c r="AM46" s="16"/>
      <c r="AN46" s="16"/>
      <c r="AO46" s="16"/>
      <c r="AP46" s="16"/>
      <c r="AQ46" s="16"/>
    </row>
    <row r="47" spans="25:43">
      <c r="Y47" s="17"/>
      <c r="Z47" s="17"/>
      <c r="AC47" s="17"/>
      <c r="AM47" s="16"/>
      <c r="AN47" s="16"/>
      <c r="AO47" s="16"/>
      <c r="AP47" s="16"/>
      <c r="AQ47" s="16"/>
    </row>
  </sheetData>
  <conditionalFormatting sqref="Y42 Z5:AB39 Y6:Y39 Y40:AB40">
    <cfRule type="cellIs" dxfId="16" priority="1" stopIfTrue="1" operator="notBetween">
      <formula>-32768</formula>
      <formula>32768</formula>
    </cfRule>
  </conditionalFormatting>
  <pageMargins left="0.75" right="0.75" top="1" bottom="1" header="0.5" footer="0.5"/>
  <pageSetup paperSize="1" orientation="portrait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3:AI43"/>
  <sheetViews>
    <sheetView zoomScale="70" zoomScaleNormal="70" workbookViewId="0">
      <selection activeCell="G5" sqref="G5"/>
    </sheetView>
  </sheetViews>
  <sheetFormatPr defaultColWidth="9" defaultRowHeight="13.2"/>
  <cols>
    <col min="3" max="3" width="12.4259259259259" customWidth="1"/>
    <col min="4" max="4" width="13.287037037037" customWidth="1"/>
    <col min="5" max="6" width="12.5740740740741" customWidth="1"/>
    <col min="7" max="7" width="9.42592592592593" customWidth="1"/>
    <col min="8" max="13" width="12.4259259259259" customWidth="1"/>
    <col min="14" max="14" width="9.28703703703704" customWidth="1"/>
    <col min="15" max="15" width="14.8518518518519" customWidth="1"/>
    <col min="17" max="31" width="12.5740740740741" customWidth="1"/>
    <col min="32" max="32" width="11" customWidth="1"/>
    <col min="37" max="37" width="13.1388888888889" customWidth="1"/>
    <col min="42" max="42" width="13.1388888888889" customWidth="1"/>
    <col min="43" max="43" width="12.5740740740741" customWidth="1"/>
    <col min="44" max="45" width="9.28703703703704" customWidth="1"/>
  </cols>
  <sheetData>
    <row r="3" spans="16:31">
      <c r="P3" t="s">
        <v>113</v>
      </c>
      <c r="V3" t="s">
        <v>114</v>
      </c>
      <c r="AD3" t="s">
        <v>115</v>
      </c>
      <c r="AE3" t="s">
        <v>116</v>
      </c>
    </row>
    <row r="4" spans="3:35">
      <c r="C4" s="8" t="str">
        <f>Digital!C4</f>
        <v>Temperature</v>
      </c>
      <c r="D4" s="8" t="str">
        <f>Accuracy!G3</f>
        <v>Res (Ω)</v>
      </c>
      <c r="E4" s="8" t="str">
        <f>Thermistor!K4</f>
        <v>BETA</v>
      </c>
      <c r="F4" s="8" t="s">
        <v>79</v>
      </c>
      <c r="G4" s="8" t="s">
        <v>11</v>
      </c>
      <c r="H4" s="8" t="s">
        <v>14</v>
      </c>
      <c r="I4" s="8" t="s">
        <v>117</v>
      </c>
      <c r="J4" s="17" t="s">
        <v>95</v>
      </c>
      <c r="K4" s="17" t="s">
        <v>118</v>
      </c>
      <c r="L4" s="17" t="s">
        <v>119</v>
      </c>
      <c r="N4" t="s">
        <v>120</v>
      </c>
      <c r="O4" t="s">
        <v>121</v>
      </c>
      <c r="P4" t="s">
        <v>79</v>
      </c>
      <c r="Q4" t="s">
        <v>122</v>
      </c>
      <c r="S4" t="s">
        <v>123</v>
      </c>
      <c r="T4" t="s">
        <v>124</v>
      </c>
      <c r="U4" t="s">
        <v>125</v>
      </c>
      <c r="V4" t="s">
        <v>126</v>
      </c>
      <c r="W4" t="s">
        <v>127</v>
      </c>
      <c r="X4" t="s">
        <v>60</v>
      </c>
      <c r="Y4" t="s">
        <v>128</v>
      </c>
      <c r="AA4" s="17" t="s">
        <v>129</v>
      </c>
      <c r="AB4" s="17" t="s">
        <v>130</v>
      </c>
      <c r="AI4" t="s">
        <v>131</v>
      </c>
    </row>
    <row r="5" spans="1:35">
      <c r="A5" s="29">
        <v>0.86</v>
      </c>
      <c r="B5">
        <v>1</v>
      </c>
      <c r="C5" s="8">
        <f>Digital!C5</f>
        <v>-40</v>
      </c>
      <c r="D5" s="8">
        <f>Accuracy!G4</f>
        <v>188500</v>
      </c>
      <c r="E5" s="8">
        <f>Thermistor!K5</f>
        <v>3140.42764597615</v>
      </c>
      <c r="F5" s="30">
        <f>Digital!D5</f>
        <v>0.912832929782082</v>
      </c>
      <c r="G5" s="8">
        <f>Accuracy!D12</f>
        <v>18000</v>
      </c>
      <c r="H5" s="8">
        <f>'Resistor Network'!S5</f>
        <v>0</v>
      </c>
      <c r="I5" s="8">
        <f>Accuracy!D3</f>
        <v>-40</v>
      </c>
      <c r="J5" t="str">
        <f>ADDRESS(MATCH($I$5,$C$5:$C$40,0)+4,3)</f>
        <v>$C$5</v>
      </c>
      <c r="K5" t="str">
        <f>ADDRESS(MATCH(I5,C5:C40,0)+4,16)</f>
        <v>$P$5</v>
      </c>
      <c r="L5" t="str">
        <f>ADDRESS(MATCH($I$5,$C5:$C40,0)+4,22)</f>
        <v>$V$5</v>
      </c>
      <c r="N5">
        <f>C5-0.1</f>
        <v>-40.1</v>
      </c>
      <c r="O5" s="31">
        <f>$D$18*EXP(E5*($C$18-N5)/(($C$18+273.15)*(N5+273.15)))</f>
        <v>189592.625336001</v>
      </c>
      <c r="P5" s="29">
        <f>(O5+$H$5)/(O5+$H$5+$G$5)</f>
        <v>0.913291717512287</v>
      </c>
      <c r="Q5" s="31">
        <f>ROUND(-LN((P5-F5))/LN(2)+0.5,0)</f>
        <v>12</v>
      </c>
      <c r="R5" s="31"/>
      <c r="S5" s="29">
        <f>($A$35-$A$5)/($A$42-1)*(B5-1)+$A$5</f>
        <v>0.86</v>
      </c>
      <c r="T5" s="31">
        <f>ROUND(S5*2^15,0)</f>
        <v>28180</v>
      </c>
      <c r="U5" s="29">
        <f t="shared" ref="U5:U40" si="0">P5/S5</f>
        <v>1.06196711338638</v>
      </c>
      <c r="V5" s="29">
        <f>U5*2^14</f>
        <v>17399.2691857224</v>
      </c>
      <c r="W5" s="32">
        <f ca="1">$T$43*P5^4+$U$43*P5^3+$V$43*P5^2+$W$43*P5+$X$43</f>
        <v>17428.8641937305</v>
      </c>
      <c r="X5" s="29">
        <f ca="1" t="shared" ref="X5:X40" si="1">P5/W5*2^14</f>
        <v>0.858539680692669</v>
      </c>
      <c r="Y5" s="32">
        <f ca="1">W5-V5</f>
        <v>29.5950080080838</v>
      </c>
      <c r="Z5" s="31"/>
      <c r="AA5" t="str">
        <f>ADDRESS(MATCH($I$5,$C5:$C40,0)+4,30)</f>
        <v>$AD$5</v>
      </c>
      <c r="AB5" t="str">
        <f>ADDRESS(MATCH($I$5,$C5:$C40,0)+4,31)</f>
        <v>$AE$5</v>
      </c>
      <c r="AD5" s="29">
        <f ca="1">X5</f>
        <v>0.858539680692669</v>
      </c>
      <c r="AE5" s="31">
        <f>C5*10+2731.5</f>
        <v>2331.5</v>
      </c>
      <c r="AF5">
        <v>110</v>
      </c>
      <c r="AG5">
        <f ca="1">$AD$43*AD5^3+$AE$43*AD5^2+$AF$43*AD5+$AG$43</f>
        <v>2336.10246163987</v>
      </c>
      <c r="AI5" s="29">
        <f ca="1">(AG5-AE5)/10</f>
        <v>0.460246163986722</v>
      </c>
    </row>
    <row r="6" spans="1:35">
      <c r="A6" s="29"/>
      <c r="B6">
        <v>2</v>
      </c>
      <c r="C6" s="8">
        <f>Digital!C6</f>
        <v>-35</v>
      </c>
      <c r="D6" s="8">
        <f>Accuracy!G5</f>
        <v>144100</v>
      </c>
      <c r="E6" s="8">
        <f>Thermistor!K6</f>
        <v>3157.23816662783</v>
      </c>
      <c r="F6" s="30">
        <f>Digital!D6</f>
        <v>0.888957433682912</v>
      </c>
      <c r="I6" s="8">
        <f>Accuracy!D4</f>
        <v>110</v>
      </c>
      <c r="J6" t="str">
        <f>ADDRESS(MATCH($I$6,$C$5:$C$40,0)+4,3)</f>
        <v>$C$35</v>
      </c>
      <c r="K6" t="str">
        <f>ADDRESS(MATCH(I6,C5:C40,0)+4,16)</f>
        <v>$P$35</v>
      </c>
      <c r="L6" t="str">
        <f>ADDRESS(MATCH($I$6,$C6:$C41,0)+5,22)</f>
        <v>$V$35</v>
      </c>
      <c r="N6">
        <f t="shared" ref="N6:N40" si="2">C6-0.1</f>
        <v>-35.1</v>
      </c>
      <c r="O6" s="31">
        <f t="shared" ref="O6:O40" si="3">$D$18*EXP(E6*($C$18-N6)/(($C$18+273.15)*(N6+273.15)))</f>
        <v>144904.75269395</v>
      </c>
      <c r="P6" s="29">
        <f t="shared" ref="P6:P34" si="4">(O6+$H$5)/(O6+$H$5+$G$5)</f>
        <v>0.889505986152432</v>
      </c>
      <c r="Q6" s="31">
        <f t="shared" ref="Q6:Q40" si="5">ROUND(-LN((P6-F6))/LN(2)+0.5,0)</f>
        <v>11</v>
      </c>
      <c r="R6" s="31"/>
      <c r="S6" s="29">
        <f t="shared" ref="S6:S40" si="6">($A$35-$A$5)/($A$42-1)*(B6-1)+$A$5</f>
        <v>0.843666666666667</v>
      </c>
      <c r="T6" s="31">
        <f t="shared" ref="T6:T40" si="7">ROUND(S6*2^15,0)</f>
        <v>27645</v>
      </c>
      <c r="U6" s="29">
        <f t="shared" si="0"/>
        <v>1.05433344862003</v>
      </c>
      <c r="V6" s="29">
        <f t="shared" ref="V6:V40" si="8">U6*2^14</f>
        <v>17274.1992221906</v>
      </c>
      <c r="W6" s="32">
        <f ca="1" t="shared" ref="W6:W40" si="9">$T$43*P6^4+$U$43*P6^3+$V$43*P6^2+$W$43*P6+$X$43</f>
        <v>17265.9583906579</v>
      </c>
      <c r="X6" s="29">
        <f ca="1" t="shared" si="1"/>
        <v>0.844069338485537</v>
      </c>
      <c r="Y6" s="32">
        <f ca="1" t="shared" ref="Y6:Y40" si="10">W6-V6</f>
        <v>-8.24083153263564</v>
      </c>
      <c r="Z6" s="31"/>
      <c r="AA6" t="str">
        <f>ADDRESS(MATCH($I$6,$C6:$C41,0)+5,30)</f>
        <v>$AD$35</v>
      </c>
      <c r="AB6" t="str">
        <f>ADDRESS(MATCH($I$6,$C6:$C41,0)+5,31)</f>
        <v>$AE$35</v>
      </c>
      <c r="AD6" s="29">
        <f ca="1" t="shared" ref="AD6:AD40" si="11">X6</f>
        <v>0.844069338485537</v>
      </c>
      <c r="AE6" s="31">
        <f t="shared" ref="AE6:AE40" si="12">C6*10+2731.5</f>
        <v>2381.5</v>
      </c>
      <c r="AF6">
        <v>105</v>
      </c>
      <c r="AG6">
        <f ca="1" t="shared" ref="AG6:AG34" si="13">$AD$43*AD6^3+$AE$43*AD6^2+$AF$43*AD6+$AG$43</f>
        <v>2380.33119797559</v>
      </c>
      <c r="AI6" s="29">
        <f ca="1" t="shared" ref="AI6:AI40" si="14">(AG6-AE6)/10</f>
        <v>-0.116880202440734</v>
      </c>
    </row>
    <row r="7" spans="2:35">
      <c r="B7">
        <v>3</v>
      </c>
      <c r="C7" s="8">
        <f>Digital!C7</f>
        <v>-30</v>
      </c>
      <c r="D7" s="8">
        <f>Accuracy!G6</f>
        <v>111300</v>
      </c>
      <c r="E7" s="8">
        <f>Thermistor!K7</f>
        <v>3176.13762592968</v>
      </c>
      <c r="F7" s="30">
        <f>Digital!D7</f>
        <v>0.860788863109049</v>
      </c>
      <c r="N7">
        <f t="shared" si="2"/>
        <v>-30.1</v>
      </c>
      <c r="O7" s="31">
        <f t="shared" si="3"/>
        <v>111899.780214184</v>
      </c>
      <c r="P7" s="29">
        <f t="shared" si="4"/>
        <v>0.861431636217391</v>
      </c>
      <c r="Q7" s="31">
        <f t="shared" si="5"/>
        <v>11</v>
      </c>
      <c r="R7" s="31"/>
      <c r="S7" s="29">
        <f t="shared" si="6"/>
        <v>0.827333333333333</v>
      </c>
      <c r="T7" s="31">
        <f t="shared" si="7"/>
        <v>27110</v>
      </c>
      <c r="U7" s="29">
        <f t="shared" si="0"/>
        <v>1.04121470936832</v>
      </c>
      <c r="V7" s="29">
        <f t="shared" si="8"/>
        <v>17059.2617982906</v>
      </c>
      <c r="W7" s="32">
        <f ca="1" t="shared" si="9"/>
        <v>17035.7390379237</v>
      </c>
      <c r="X7" s="29">
        <f ca="1" t="shared" si="1"/>
        <v>0.828475706065165</v>
      </c>
      <c r="Y7" s="32">
        <f ca="1" t="shared" si="10"/>
        <v>-23.5227603668682</v>
      </c>
      <c r="Z7" s="31"/>
      <c r="AA7" s="31"/>
      <c r="AB7" s="32"/>
      <c r="AD7" s="29">
        <f ca="1" t="shared" si="11"/>
        <v>0.828475706065165</v>
      </c>
      <c r="AE7" s="31">
        <f t="shared" si="12"/>
        <v>2431.5</v>
      </c>
      <c r="AF7">
        <v>100</v>
      </c>
      <c r="AG7">
        <f ca="1" t="shared" si="13"/>
        <v>2428.00630969275</v>
      </c>
      <c r="AI7" s="29">
        <f ca="1" t="shared" si="14"/>
        <v>-0.349369030725074</v>
      </c>
    </row>
    <row r="8" spans="2:35">
      <c r="B8">
        <v>4</v>
      </c>
      <c r="C8" s="8">
        <f>Digital!C8</f>
        <v>-25</v>
      </c>
      <c r="D8" s="8">
        <f>Accuracy!G7</f>
        <v>86430</v>
      </c>
      <c r="E8" s="8">
        <f>Thermistor!K8</f>
        <v>3191.3823893697</v>
      </c>
      <c r="F8" s="30">
        <f>Digital!D8</f>
        <v>0.827635736857225</v>
      </c>
      <c r="N8">
        <f t="shared" si="2"/>
        <v>-25.1</v>
      </c>
      <c r="O8" s="31">
        <f t="shared" si="3"/>
        <v>86879.2790630696</v>
      </c>
      <c r="P8" s="29">
        <f t="shared" si="4"/>
        <v>0.828374106298198</v>
      </c>
      <c r="Q8" s="31">
        <f t="shared" si="5"/>
        <v>11</v>
      </c>
      <c r="R8" s="31"/>
      <c r="S8" s="29">
        <f t="shared" si="6"/>
        <v>0.811</v>
      </c>
      <c r="T8" s="31">
        <f t="shared" si="7"/>
        <v>26575</v>
      </c>
      <c r="U8" s="29">
        <f t="shared" si="0"/>
        <v>1.02142306571911</v>
      </c>
      <c r="V8" s="29">
        <f t="shared" si="8"/>
        <v>16734.9955087419</v>
      </c>
      <c r="W8" s="32">
        <f ca="1" t="shared" si="9"/>
        <v>16716.8813571154</v>
      </c>
      <c r="X8" s="29">
        <f ca="1" t="shared" si="1"/>
        <v>0.811878786937306</v>
      </c>
      <c r="Y8" s="32">
        <f ca="1" t="shared" si="10"/>
        <v>-18.1141516265379</v>
      </c>
      <c r="Z8" s="31"/>
      <c r="AA8" s="31"/>
      <c r="AB8" s="32"/>
      <c r="AD8" s="29">
        <f ca="1" t="shared" si="11"/>
        <v>0.811878786937306</v>
      </c>
      <c r="AE8" s="31">
        <f t="shared" si="12"/>
        <v>2481.5</v>
      </c>
      <c r="AF8">
        <v>95</v>
      </c>
      <c r="AG8">
        <f ca="1" t="shared" si="13"/>
        <v>2478.76261823682</v>
      </c>
      <c r="AI8" s="29">
        <f ca="1" t="shared" si="14"/>
        <v>-0.273738176317875</v>
      </c>
    </row>
    <row r="9" spans="2:35">
      <c r="B9">
        <v>5</v>
      </c>
      <c r="C9" s="8">
        <f>Digital!C9</f>
        <v>-20</v>
      </c>
      <c r="D9" s="8">
        <f>Accuracy!G8</f>
        <v>67770</v>
      </c>
      <c r="E9" s="8">
        <f>Thermistor!K9</f>
        <v>3209.49374995481</v>
      </c>
      <c r="F9" s="30">
        <f>Digital!D9</f>
        <v>0.790136411332634</v>
      </c>
      <c r="N9">
        <f t="shared" si="2"/>
        <v>-20.1</v>
      </c>
      <c r="O9" s="31">
        <f t="shared" si="3"/>
        <v>68110.3910596815</v>
      </c>
      <c r="P9" s="29">
        <f t="shared" si="4"/>
        <v>0.790965994016627</v>
      </c>
      <c r="Q9" s="31">
        <f t="shared" si="5"/>
        <v>11</v>
      </c>
      <c r="R9" s="31"/>
      <c r="S9" s="29">
        <f t="shared" si="6"/>
        <v>0.794666666666667</v>
      </c>
      <c r="T9" s="31">
        <f t="shared" si="7"/>
        <v>26040</v>
      </c>
      <c r="U9" s="29">
        <f t="shared" si="0"/>
        <v>0.995343113275957</v>
      </c>
      <c r="V9" s="29">
        <f t="shared" si="8"/>
        <v>16307.7015679133</v>
      </c>
      <c r="W9" s="32">
        <f ca="1" t="shared" si="9"/>
        <v>16300.6345904547</v>
      </c>
      <c r="X9" s="29">
        <f ca="1" t="shared" si="1"/>
        <v>0.795011186469821</v>
      </c>
      <c r="Y9" s="32">
        <f ca="1" t="shared" si="10"/>
        <v>-7.06697745855308</v>
      </c>
      <c r="Z9" s="31"/>
      <c r="AA9" s="31"/>
      <c r="AB9" s="32"/>
      <c r="AD9" s="29">
        <f ca="1" t="shared" si="11"/>
        <v>0.795011186469821</v>
      </c>
      <c r="AE9" s="31">
        <f t="shared" si="12"/>
        <v>2531.5</v>
      </c>
      <c r="AF9">
        <v>90</v>
      </c>
      <c r="AG9">
        <f ca="1" t="shared" si="13"/>
        <v>2530.36014205999</v>
      </c>
      <c r="AI9" s="29">
        <f ca="1" t="shared" si="14"/>
        <v>-0.113985794000837</v>
      </c>
    </row>
    <row r="10" spans="2:35">
      <c r="B10">
        <v>6</v>
      </c>
      <c r="C10" s="8">
        <f>Digital!C10</f>
        <v>-15</v>
      </c>
      <c r="D10" s="8">
        <f>Accuracy!G9</f>
        <v>53410</v>
      </c>
      <c r="E10" s="8">
        <f>Thermistor!K10</f>
        <v>3223.80531601859</v>
      </c>
      <c r="F10" s="30">
        <f>Digital!D10</f>
        <v>0.74793446296037</v>
      </c>
      <c r="N10">
        <f t="shared" si="2"/>
        <v>-15.1</v>
      </c>
      <c r="O10" s="31">
        <f t="shared" si="3"/>
        <v>53669.0995636358</v>
      </c>
      <c r="P10" s="29">
        <f t="shared" si="4"/>
        <v>0.748845735336502</v>
      </c>
      <c r="Q10" s="31">
        <f t="shared" si="5"/>
        <v>11</v>
      </c>
      <c r="R10" s="31"/>
      <c r="S10" s="29">
        <f t="shared" si="6"/>
        <v>0.778333333333333</v>
      </c>
      <c r="T10" s="31">
        <f t="shared" si="7"/>
        <v>25504</v>
      </c>
      <c r="U10" s="29">
        <f t="shared" si="0"/>
        <v>0.962114435121844</v>
      </c>
      <c r="V10" s="29">
        <f t="shared" si="8"/>
        <v>15763.2829050363</v>
      </c>
      <c r="W10" s="32">
        <f ca="1" t="shared" si="9"/>
        <v>15770.6772060917</v>
      </c>
      <c r="X10" s="29">
        <f ca="1" t="shared" si="1"/>
        <v>0.777968400939313</v>
      </c>
      <c r="Y10" s="32">
        <f ca="1" t="shared" si="10"/>
        <v>7.39430105543579</v>
      </c>
      <c r="Z10" s="31"/>
      <c r="AA10" s="31"/>
      <c r="AB10" s="32"/>
      <c r="AD10" s="29">
        <f ca="1" t="shared" si="11"/>
        <v>0.777968400939313</v>
      </c>
      <c r="AE10" s="31">
        <f t="shared" si="12"/>
        <v>2581.5</v>
      </c>
      <c r="AF10">
        <v>85</v>
      </c>
      <c r="AG10">
        <f ca="1" t="shared" si="13"/>
        <v>2582.50607377632</v>
      </c>
      <c r="AI10" s="29">
        <f ca="1" t="shared" si="14"/>
        <v>0.100607377632286</v>
      </c>
    </row>
    <row r="11" spans="2:35">
      <c r="B11">
        <v>7</v>
      </c>
      <c r="C11" s="8">
        <f>Digital!C11</f>
        <v>-10</v>
      </c>
      <c r="D11" s="8">
        <f>Accuracy!G10</f>
        <v>42470</v>
      </c>
      <c r="E11" s="8">
        <f>Thermistor!K11</f>
        <v>3241.92049604157</v>
      </c>
      <c r="F11" s="30">
        <f>Digital!D11</f>
        <v>0.702331734744501</v>
      </c>
      <c r="N11">
        <f t="shared" si="2"/>
        <v>-10.1</v>
      </c>
      <c r="O11" s="31">
        <f t="shared" si="3"/>
        <v>42669.3702362926</v>
      </c>
      <c r="P11" s="29">
        <f t="shared" si="4"/>
        <v>0.703309925092442</v>
      </c>
      <c r="Q11" s="31">
        <f t="shared" si="5"/>
        <v>10</v>
      </c>
      <c r="R11" s="31"/>
      <c r="S11" s="29">
        <f t="shared" si="6"/>
        <v>0.762</v>
      </c>
      <c r="T11" s="31">
        <f t="shared" si="7"/>
        <v>24969</v>
      </c>
      <c r="U11" s="29">
        <f t="shared" si="0"/>
        <v>0.922978904320791</v>
      </c>
      <c r="V11" s="29">
        <f t="shared" si="8"/>
        <v>15122.0863683918</v>
      </c>
      <c r="W11" s="32">
        <f ca="1" t="shared" si="9"/>
        <v>15135.5832716728</v>
      </c>
      <c r="X11" s="29">
        <f ca="1" t="shared" si="1"/>
        <v>0.761320499242381</v>
      </c>
      <c r="Y11" s="32">
        <f ca="1" t="shared" si="10"/>
        <v>13.4969032809768</v>
      </c>
      <c r="Z11" s="31"/>
      <c r="AA11" s="31"/>
      <c r="AB11" s="32"/>
      <c r="AD11" s="29">
        <f ca="1" t="shared" si="11"/>
        <v>0.761320499242381</v>
      </c>
      <c r="AE11" s="31">
        <f t="shared" si="12"/>
        <v>2631.5</v>
      </c>
      <c r="AF11">
        <v>80</v>
      </c>
      <c r="AG11">
        <f ca="1" t="shared" si="13"/>
        <v>2633.45474127695</v>
      </c>
      <c r="AI11" s="29">
        <f ca="1" t="shared" si="14"/>
        <v>0.195474127694979</v>
      </c>
    </row>
    <row r="12" spans="2:35">
      <c r="B12">
        <v>8</v>
      </c>
      <c r="C12" s="8">
        <f>Digital!C12</f>
        <v>-5</v>
      </c>
      <c r="D12" s="8">
        <f>Accuracy!G11</f>
        <v>33900</v>
      </c>
      <c r="E12" s="8">
        <f>Thermistor!K12</f>
        <v>3253.46789236929</v>
      </c>
      <c r="F12" s="30">
        <f>Digital!D12</f>
        <v>0.653179190751445</v>
      </c>
      <c r="N12">
        <f t="shared" si="2"/>
        <v>-5.1</v>
      </c>
      <c r="O12" s="31">
        <f t="shared" si="3"/>
        <v>34053.7927548725</v>
      </c>
      <c r="P12" s="29">
        <f t="shared" si="4"/>
        <v>0.654203871660916</v>
      </c>
      <c r="Q12" s="31">
        <f t="shared" si="5"/>
        <v>10</v>
      </c>
      <c r="R12" s="31"/>
      <c r="S12" s="29">
        <f t="shared" si="6"/>
        <v>0.745666666666667</v>
      </c>
      <c r="T12" s="31">
        <f t="shared" si="7"/>
        <v>24434</v>
      </c>
      <c r="U12" s="29">
        <f t="shared" si="0"/>
        <v>0.877340909692779</v>
      </c>
      <c r="V12" s="29">
        <f t="shared" si="8"/>
        <v>14374.3534644065</v>
      </c>
      <c r="W12" s="32">
        <f ca="1" t="shared" si="9"/>
        <v>14390.3651458219</v>
      </c>
      <c r="X12" s="29">
        <f ca="1" t="shared" si="1"/>
        <v>0.744836988129136</v>
      </c>
      <c r="Y12" s="32">
        <f ca="1" t="shared" si="10"/>
        <v>16.0116814153589</v>
      </c>
      <c r="Z12" s="31"/>
      <c r="AA12" s="31"/>
      <c r="AB12" s="32"/>
      <c r="AD12" s="29">
        <f ca="1" t="shared" si="11"/>
        <v>0.744836988129136</v>
      </c>
      <c r="AE12" s="31">
        <f t="shared" si="12"/>
        <v>2681.5</v>
      </c>
      <c r="AF12">
        <v>75</v>
      </c>
      <c r="AG12">
        <f ca="1" t="shared" si="13"/>
        <v>2683.90984206118</v>
      </c>
      <c r="AI12" s="29">
        <f ca="1" t="shared" si="14"/>
        <v>0.240984206117628</v>
      </c>
    </row>
    <row r="13" spans="2:35">
      <c r="B13">
        <v>9</v>
      </c>
      <c r="C13" s="8">
        <f>Digital!C13</f>
        <v>0</v>
      </c>
      <c r="D13" s="8">
        <f>Accuracy!G12</f>
        <v>27280</v>
      </c>
      <c r="E13" s="8">
        <f>Thermistor!K13</f>
        <v>3269.21238061231</v>
      </c>
      <c r="F13" s="30">
        <f>Digital!D13</f>
        <v>0.602473498233215</v>
      </c>
      <c r="N13">
        <f t="shared" si="2"/>
        <v>-0.1</v>
      </c>
      <c r="O13" s="31">
        <f t="shared" si="3"/>
        <v>27399.8384770454</v>
      </c>
      <c r="P13" s="29">
        <f t="shared" si="4"/>
        <v>0.603522818498551</v>
      </c>
      <c r="Q13" s="31">
        <f t="shared" si="5"/>
        <v>10</v>
      </c>
      <c r="R13" s="31"/>
      <c r="S13" s="29">
        <f t="shared" si="6"/>
        <v>0.729333333333333</v>
      </c>
      <c r="T13" s="31">
        <f t="shared" si="7"/>
        <v>23899</v>
      </c>
      <c r="U13" s="29">
        <f t="shared" si="0"/>
        <v>0.827499294102218</v>
      </c>
      <c r="V13" s="29">
        <f t="shared" si="8"/>
        <v>13557.7484345707</v>
      </c>
      <c r="W13" s="32">
        <f ca="1" t="shared" si="9"/>
        <v>13567.3221105065</v>
      </c>
      <c r="X13" s="29">
        <f ca="1" t="shared" si="1"/>
        <v>0.728818684906353</v>
      </c>
      <c r="Y13" s="32">
        <f ca="1" t="shared" si="10"/>
        <v>9.57367593579329</v>
      </c>
      <c r="Z13" s="31"/>
      <c r="AA13" s="31"/>
      <c r="AB13" s="32"/>
      <c r="AD13" s="29">
        <f ca="1" t="shared" si="11"/>
        <v>0.728818684906353</v>
      </c>
      <c r="AE13" s="31">
        <f t="shared" si="12"/>
        <v>2731.5</v>
      </c>
      <c r="AF13">
        <v>70</v>
      </c>
      <c r="AG13">
        <f ca="1" t="shared" si="13"/>
        <v>2732.94897969902</v>
      </c>
      <c r="AI13" s="29">
        <f ca="1" t="shared" si="14"/>
        <v>0.144897969901831</v>
      </c>
    </row>
    <row r="14" spans="2:35">
      <c r="B14">
        <v>10</v>
      </c>
      <c r="C14" s="8">
        <f>Digital!C14</f>
        <v>5</v>
      </c>
      <c r="D14" s="8">
        <f>Accuracy!G13</f>
        <v>22050</v>
      </c>
      <c r="E14" s="8">
        <f>Thermistor!K14</f>
        <v>3278.76831976754</v>
      </c>
      <c r="F14" s="30">
        <f>Digital!D14</f>
        <v>0.550561797752809</v>
      </c>
      <c r="N14">
        <f t="shared" si="2"/>
        <v>4.9</v>
      </c>
      <c r="O14" s="31">
        <f t="shared" si="3"/>
        <v>22143.6781420846</v>
      </c>
      <c r="P14" s="29">
        <f t="shared" si="4"/>
        <v>0.5516105939199</v>
      </c>
      <c r="Q14" s="31">
        <f t="shared" si="5"/>
        <v>10</v>
      </c>
      <c r="R14" s="31"/>
      <c r="S14" s="29">
        <f t="shared" si="6"/>
        <v>0.713</v>
      </c>
      <c r="T14" s="31">
        <f t="shared" si="7"/>
        <v>23364</v>
      </c>
      <c r="U14" s="29">
        <f t="shared" si="0"/>
        <v>0.773647396802103</v>
      </c>
      <c r="V14" s="29">
        <f t="shared" si="8"/>
        <v>12675.4389492057</v>
      </c>
      <c r="W14" s="32">
        <f ca="1" t="shared" si="9"/>
        <v>12677.8383490657</v>
      </c>
      <c r="X14" s="29">
        <f ca="1" t="shared" si="1"/>
        <v>0.712865058060129</v>
      </c>
      <c r="Y14" s="32">
        <f ca="1" t="shared" si="10"/>
        <v>2.39939986002355</v>
      </c>
      <c r="Z14" s="31"/>
      <c r="AA14" s="31"/>
      <c r="AB14" s="32"/>
      <c r="AD14" s="29">
        <f ca="1" t="shared" si="11"/>
        <v>0.712865058060129</v>
      </c>
      <c r="AE14" s="31">
        <f t="shared" si="12"/>
        <v>2781.5</v>
      </c>
      <c r="AF14">
        <v>65</v>
      </c>
      <c r="AG14">
        <f ca="1" t="shared" si="13"/>
        <v>2781.79692874638</v>
      </c>
      <c r="AI14" s="29">
        <f ca="1" t="shared" si="14"/>
        <v>0.0296928746382036</v>
      </c>
    </row>
    <row r="15" spans="2:35">
      <c r="B15">
        <v>11</v>
      </c>
      <c r="C15" s="8">
        <f>Digital!C15</f>
        <v>10</v>
      </c>
      <c r="D15" s="8">
        <f>Accuracy!G14</f>
        <v>17960</v>
      </c>
      <c r="E15" s="8">
        <f>Thermistor!K15</f>
        <v>3295.588537912</v>
      </c>
      <c r="F15" s="30">
        <f>Digital!D15</f>
        <v>0.49944382647386</v>
      </c>
      <c r="N15">
        <f t="shared" si="2"/>
        <v>9.9</v>
      </c>
      <c r="O15" s="31">
        <f t="shared" si="3"/>
        <v>18034.0035931053</v>
      </c>
      <c r="P15" s="29">
        <f t="shared" si="4"/>
        <v>0.500471826465487</v>
      </c>
      <c r="Q15" s="31">
        <f t="shared" si="5"/>
        <v>10</v>
      </c>
      <c r="R15" s="31"/>
      <c r="S15" s="29">
        <f t="shared" si="6"/>
        <v>0.696666666666667</v>
      </c>
      <c r="T15" s="31">
        <f t="shared" si="7"/>
        <v>22828</v>
      </c>
      <c r="U15" s="29">
        <f t="shared" si="0"/>
        <v>0.718380612151416</v>
      </c>
      <c r="V15" s="29">
        <f t="shared" si="8"/>
        <v>11769.9479494888</v>
      </c>
      <c r="W15" s="32">
        <f ca="1" t="shared" si="9"/>
        <v>11763.3851348708</v>
      </c>
      <c r="X15" s="29">
        <f ca="1" t="shared" si="1"/>
        <v>0.697055338305951</v>
      </c>
      <c r="Y15" s="32">
        <f ca="1" t="shared" si="10"/>
        <v>-6.56281461804792</v>
      </c>
      <c r="Z15" s="31"/>
      <c r="AA15" s="31"/>
      <c r="AB15" s="32"/>
      <c r="AD15" s="29">
        <f ca="1" t="shared" si="11"/>
        <v>0.697055338305951</v>
      </c>
      <c r="AE15" s="31">
        <f t="shared" si="12"/>
        <v>2831.5</v>
      </c>
      <c r="AF15">
        <v>60</v>
      </c>
      <c r="AG15">
        <f ca="1" t="shared" si="13"/>
        <v>2830.20995691752</v>
      </c>
      <c r="AI15" s="29">
        <f ca="1" t="shared" si="14"/>
        <v>-0.129004308248432</v>
      </c>
    </row>
    <row r="16" spans="2:35">
      <c r="B16">
        <v>12</v>
      </c>
      <c r="C16" s="8">
        <f>Digital!C16</f>
        <v>15</v>
      </c>
      <c r="D16" s="8">
        <f>Accuracy!G15</f>
        <v>14690</v>
      </c>
      <c r="E16" s="8">
        <f>Thermistor!K16</f>
        <v>3304.01701464398</v>
      </c>
      <c r="F16" s="30">
        <f>Digital!D16</f>
        <v>0.44937289691037</v>
      </c>
      <c r="N16">
        <f t="shared" si="2"/>
        <v>14.9</v>
      </c>
      <c r="O16" s="31">
        <f t="shared" si="3"/>
        <v>14748.5925291669</v>
      </c>
      <c r="P16" s="29">
        <f t="shared" si="4"/>
        <v>0.450358057862528</v>
      </c>
      <c r="Q16" s="31">
        <f t="shared" si="5"/>
        <v>10</v>
      </c>
      <c r="R16" s="31"/>
      <c r="S16" s="29">
        <f t="shared" si="6"/>
        <v>0.680333333333333</v>
      </c>
      <c r="T16" s="31">
        <f t="shared" si="7"/>
        <v>22293</v>
      </c>
      <c r="U16" s="29">
        <f t="shared" si="0"/>
        <v>0.661966768048792</v>
      </c>
      <c r="V16" s="29">
        <f t="shared" si="8"/>
        <v>10845.6635277114</v>
      </c>
      <c r="W16" s="32">
        <f ca="1" t="shared" si="9"/>
        <v>10835.3438311454</v>
      </c>
      <c r="X16" s="29">
        <f ca="1" t="shared" si="1"/>
        <v>0.680981290027014</v>
      </c>
      <c r="Y16" s="32">
        <f ca="1" t="shared" si="10"/>
        <v>-10.3196965659863</v>
      </c>
      <c r="Z16" s="31"/>
      <c r="AA16" s="31"/>
      <c r="AB16" s="32"/>
      <c r="AD16" s="29">
        <f ca="1" t="shared" si="11"/>
        <v>0.680981290027014</v>
      </c>
      <c r="AE16" s="31">
        <f t="shared" si="12"/>
        <v>2881.5</v>
      </c>
      <c r="AF16">
        <v>55</v>
      </c>
      <c r="AG16">
        <f ca="1" t="shared" si="13"/>
        <v>2879.43721500908</v>
      </c>
      <c r="AI16" s="29">
        <f ca="1" t="shared" si="14"/>
        <v>-0.206278499091832</v>
      </c>
    </row>
    <row r="17" spans="2:35">
      <c r="B17">
        <v>13</v>
      </c>
      <c r="C17" s="8">
        <f>Digital!C17</f>
        <v>20</v>
      </c>
      <c r="D17" s="8">
        <f>Accuracy!G16</f>
        <v>12090</v>
      </c>
      <c r="E17" s="8">
        <f>Thermistor!K17</f>
        <v>3317.69307680286</v>
      </c>
      <c r="F17" s="30">
        <f>Digital!D17</f>
        <v>0.401794616151545</v>
      </c>
      <c r="N17">
        <f t="shared" si="2"/>
        <v>19.9</v>
      </c>
      <c r="O17" s="31">
        <f t="shared" si="3"/>
        <v>12136.7810279731</v>
      </c>
      <c r="P17" s="29">
        <f t="shared" si="4"/>
        <v>0.402723204469239</v>
      </c>
      <c r="Q17" s="31">
        <f t="shared" si="5"/>
        <v>11</v>
      </c>
      <c r="R17" s="31"/>
      <c r="S17" s="29">
        <f t="shared" si="6"/>
        <v>0.664</v>
      </c>
      <c r="T17" s="31">
        <f t="shared" si="7"/>
        <v>21758</v>
      </c>
      <c r="U17" s="29">
        <f t="shared" si="0"/>
        <v>0.606510850104276</v>
      </c>
      <c r="V17" s="29">
        <f t="shared" si="8"/>
        <v>9937.07376810845</v>
      </c>
      <c r="W17" s="32">
        <f ca="1" t="shared" si="9"/>
        <v>9926.04962421821</v>
      </c>
      <c r="X17" s="29">
        <f ca="1" t="shared" si="1"/>
        <v>0.66473745667413</v>
      </c>
      <c r="Y17" s="32">
        <f ca="1" t="shared" si="10"/>
        <v>-11.0241438902449</v>
      </c>
      <c r="Z17" s="31"/>
      <c r="AA17" s="31"/>
      <c r="AB17" s="32"/>
      <c r="AD17" s="29">
        <f ca="1" t="shared" si="11"/>
        <v>0.66473745667413</v>
      </c>
      <c r="AE17" s="31">
        <f t="shared" si="12"/>
        <v>2931.5</v>
      </c>
      <c r="AF17">
        <v>50</v>
      </c>
      <c r="AG17">
        <f ca="1" t="shared" si="13"/>
        <v>2929.18829819081</v>
      </c>
      <c r="AI17" s="29">
        <f ca="1" t="shared" si="14"/>
        <v>-0.231170180918707</v>
      </c>
    </row>
    <row r="18" spans="2:35">
      <c r="B18">
        <v>14</v>
      </c>
      <c r="C18" s="8">
        <f>Digital!C18</f>
        <v>25</v>
      </c>
      <c r="D18" s="8">
        <f>Accuracy!G17</f>
        <v>10000</v>
      </c>
      <c r="E18" s="8">
        <f>Thermistor!K18</f>
        <v>3328.82552987186</v>
      </c>
      <c r="F18" s="30">
        <f>Digital!D18</f>
        <v>0.357142857142857</v>
      </c>
      <c r="N18">
        <f t="shared" si="2"/>
        <v>24.9</v>
      </c>
      <c r="O18" s="31">
        <f t="shared" si="3"/>
        <v>10037.5301914556</v>
      </c>
      <c r="P18" s="29">
        <f t="shared" si="4"/>
        <v>0.358003366306299</v>
      </c>
      <c r="Q18" s="31">
        <f t="shared" si="5"/>
        <v>11</v>
      </c>
      <c r="R18" s="31"/>
      <c r="S18" s="29">
        <f t="shared" si="6"/>
        <v>0.647666666666667</v>
      </c>
      <c r="T18" s="31">
        <f t="shared" si="7"/>
        <v>21223</v>
      </c>
      <c r="U18" s="29">
        <f t="shared" si="0"/>
        <v>0.552758671600049</v>
      </c>
      <c r="V18" s="29">
        <f t="shared" si="8"/>
        <v>9056.39807549521</v>
      </c>
      <c r="W18" s="32">
        <f ca="1" t="shared" si="9"/>
        <v>9048.29261852225</v>
      </c>
      <c r="X18" s="29">
        <f ca="1" t="shared" si="1"/>
        <v>0.648246846212224</v>
      </c>
      <c r="Y18" s="32">
        <f ca="1" t="shared" si="10"/>
        <v>-8.10545697295674</v>
      </c>
      <c r="Z18" s="31"/>
      <c r="AA18" s="31"/>
      <c r="AB18" s="32"/>
      <c r="AD18" s="29">
        <f ca="1" t="shared" si="11"/>
        <v>0.648246846212224</v>
      </c>
      <c r="AE18" s="31">
        <f t="shared" si="12"/>
        <v>2981.5</v>
      </c>
      <c r="AF18">
        <v>45</v>
      </c>
      <c r="AG18">
        <f ca="1" t="shared" si="13"/>
        <v>2979.69806095558</v>
      </c>
      <c r="AI18" s="29">
        <f ca="1" t="shared" si="14"/>
        <v>-0.180193904442331</v>
      </c>
    </row>
    <row r="19" spans="2:35">
      <c r="B19">
        <v>15</v>
      </c>
      <c r="C19" s="8">
        <f>Digital!C19</f>
        <v>30</v>
      </c>
      <c r="D19" s="8">
        <f>Accuracy!G18</f>
        <v>8313</v>
      </c>
      <c r="E19" s="8">
        <f>Thermistor!K19</f>
        <v>3339.95798294086</v>
      </c>
      <c r="F19" s="30">
        <f>Digital!D19</f>
        <v>0.315927488313761</v>
      </c>
      <c r="N19">
        <f t="shared" si="2"/>
        <v>29.9</v>
      </c>
      <c r="O19" s="31">
        <f t="shared" si="3"/>
        <v>8343.2772627694</v>
      </c>
      <c r="P19" s="29">
        <f t="shared" si="4"/>
        <v>0.316713717110697</v>
      </c>
      <c r="Q19" s="31">
        <f t="shared" si="5"/>
        <v>11</v>
      </c>
      <c r="R19" s="31"/>
      <c r="S19" s="29">
        <f t="shared" si="6"/>
        <v>0.631333333333333</v>
      </c>
      <c r="T19" s="31">
        <f t="shared" si="7"/>
        <v>20688</v>
      </c>
      <c r="U19" s="29">
        <f t="shared" si="0"/>
        <v>0.501658474832149</v>
      </c>
      <c r="V19" s="29">
        <f t="shared" si="8"/>
        <v>8219.17245164993</v>
      </c>
      <c r="W19" s="32">
        <f ca="1" t="shared" si="9"/>
        <v>8215.724337367</v>
      </c>
      <c r="X19" s="29">
        <f ca="1" t="shared" si="1"/>
        <v>0.631598301995203</v>
      </c>
      <c r="Y19" s="32">
        <f ca="1" t="shared" si="10"/>
        <v>-3.44811428293724</v>
      </c>
      <c r="Z19" s="31"/>
      <c r="AA19" s="31"/>
      <c r="AB19" s="32"/>
      <c r="AD19" s="29">
        <f ca="1" t="shared" si="11"/>
        <v>0.631598301995203</v>
      </c>
      <c r="AE19" s="31">
        <f t="shared" si="12"/>
        <v>3031.5</v>
      </c>
      <c r="AF19">
        <v>40</v>
      </c>
      <c r="AG19">
        <f ca="1" t="shared" si="13"/>
        <v>3030.69334616495</v>
      </c>
      <c r="AI19" s="29">
        <f ca="1" t="shared" si="14"/>
        <v>-0.0806653835050838</v>
      </c>
    </row>
    <row r="20" spans="2:35">
      <c r="B20">
        <v>16</v>
      </c>
      <c r="C20" s="8">
        <f>Digital!C20</f>
        <v>35</v>
      </c>
      <c r="D20" s="8">
        <f>Accuracy!G19</f>
        <v>6940</v>
      </c>
      <c r="E20" s="8">
        <f>Thermistor!K20</f>
        <v>3356.0376575464</v>
      </c>
      <c r="F20" s="30">
        <f>Digital!D20</f>
        <v>0.278267842822775</v>
      </c>
      <c r="N20">
        <f t="shared" si="2"/>
        <v>34.9</v>
      </c>
      <c r="O20" s="31">
        <f t="shared" si="3"/>
        <v>6964.57937569226</v>
      </c>
      <c r="P20" s="29">
        <f t="shared" si="4"/>
        <v>0.278978438646301</v>
      </c>
      <c r="Q20" s="31">
        <f t="shared" si="5"/>
        <v>11</v>
      </c>
      <c r="R20" s="31"/>
      <c r="S20" s="29">
        <f t="shared" si="6"/>
        <v>0.615</v>
      </c>
      <c r="T20" s="31">
        <f t="shared" si="7"/>
        <v>20152</v>
      </c>
      <c r="U20" s="29">
        <f t="shared" si="0"/>
        <v>0.453623477473659</v>
      </c>
      <c r="V20" s="29">
        <f t="shared" si="8"/>
        <v>7432.16705492844</v>
      </c>
      <c r="W20" s="32">
        <f ca="1" t="shared" si="9"/>
        <v>7434.12802250246</v>
      </c>
      <c r="X20" s="29">
        <f ca="1" t="shared" si="1"/>
        <v>0.614837775855571</v>
      </c>
      <c r="Y20" s="32">
        <f ca="1" t="shared" si="10"/>
        <v>1.96096757402847</v>
      </c>
      <c r="Z20" s="31"/>
      <c r="AA20" s="31"/>
      <c r="AB20" s="32"/>
      <c r="AD20" s="29">
        <f ca="1" t="shared" si="11"/>
        <v>0.614837775855571</v>
      </c>
      <c r="AE20" s="31">
        <f t="shared" si="12"/>
        <v>3081.5</v>
      </c>
      <c r="AF20">
        <v>35</v>
      </c>
      <c r="AG20">
        <f ca="1" t="shared" si="13"/>
        <v>3082.03227443745</v>
      </c>
      <c r="AI20" s="29">
        <f ca="1" t="shared" si="14"/>
        <v>0.0532274437445267</v>
      </c>
    </row>
    <row r="21" spans="2:35">
      <c r="B21">
        <v>17</v>
      </c>
      <c r="C21" s="8">
        <f>Digital!C21</f>
        <v>40</v>
      </c>
      <c r="D21" s="8">
        <f>Accuracy!G20</f>
        <v>5827</v>
      </c>
      <c r="E21" s="8">
        <f>Thermistor!K21</f>
        <v>3361.67961859529</v>
      </c>
      <c r="F21" s="30">
        <f>Digital!D21</f>
        <v>0.244554496999203</v>
      </c>
      <c r="N21">
        <f t="shared" si="2"/>
        <v>39.9</v>
      </c>
      <c r="O21" s="31">
        <f t="shared" si="3"/>
        <v>5847.01612777129</v>
      </c>
      <c r="P21" s="29">
        <f t="shared" si="4"/>
        <v>0.245188584451959</v>
      </c>
      <c r="Q21" s="31">
        <f t="shared" si="5"/>
        <v>11</v>
      </c>
      <c r="R21" s="31"/>
      <c r="S21" s="29">
        <f t="shared" si="6"/>
        <v>0.598666666666667</v>
      </c>
      <c r="T21" s="31">
        <f t="shared" si="7"/>
        <v>19617</v>
      </c>
      <c r="U21" s="29">
        <f t="shared" si="0"/>
        <v>0.409557769129108</v>
      </c>
      <c r="V21" s="29">
        <f t="shared" si="8"/>
        <v>6710.19448941131</v>
      </c>
      <c r="W21" s="32">
        <f ca="1" t="shared" si="9"/>
        <v>6715.23037472995</v>
      </c>
      <c r="X21" s="29">
        <f ca="1" t="shared" si="1"/>
        <v>0.598217714581751</v>
      </c>
      <c r="Y21" s="32">
        <f ca="1" t="shared" si="10"/>
        <v>5.03588531863898</v>
      </c>
      <c r="Z21" s="31"/>
      <c r="AA21" s="31"/>
      <c r="AB21" s="32"/>
      <c r="AD21" s="29">
        <f ca="1" t="shared" si="11"/>
        <v>0.598217714581751</v>
      </c>
      <c r="AE21" s="31">
        <f t="shared" si="12"/>
        <v>3131.5</v>
      </c>
      <c r="AF21">
        <v>30</v>
      </c>
      <c r="AG21">
        <f ca="1" t="shared" si="13"/>
        <v>3132.94041559038</v>
      </c>
      <c r="AI21" s="29">
        <f ca="1" t="shared" si="14"/>
        <v>0.144041559037987</v>
      </c>
    </row>
    <row r="22" spans="2:35">
      <c r="B22">
        <v>18</v>
      </c>
      <c r="C22" s="8">
        <f>Digital!C22</f>
        <v>45</v>
      </c>
      <c r="D22" s="8">
        <f>Accuracy!G21</f>
        <v>4911</v>
      </c>
      <c r="E22" s="8">
        <f>Thermistor!K22</f>
        <v>3372.65570130377</v>
      </c>
      <c r="F22" s="30">
        <f>Digital!D22</f>
        <v>0.214351185020296</v>
      </c>
      <c r="N22">
        <f t="shared" si="2"/>
        <v>44.9</v>
      </c>
      <c r="O22" s="31">
        <f t="shared" si="3"/>
        <v>4927.39602543626</v>
      </c>
      <c r="P22" s="29">
        <f t="shared" si="4"/>
        <v>0.214913024574168</v>
      </c>
      <c r="Q22" s="31">
        <f t="shared" si="5"/>
        <v>11</v>
      </c>
      <c r="R22" s="31"/>
      <c r="S22" s="29">
        <f t="shared" si="6"/>
        <v>0.582333333333333</v>
      </c>
      <c r="T22" s="31">
        <f t="shared" si="7"/>
        <v>19082</v>
      </c>
      <c r="U22" s="29">
        <f t="shared" si="0"/>
        <v>0.36905499354465</v>
      </c>
      <c r="V22" s="29">
        <f t="shared" si="8"/>
        <v>6046.59701423555</v>
      </c>
      <c r="W22" s="32">
        <f ca="1" t="shared" si="9"/>
        <v>6053.75688128519</v>
      </c>
      <c r="X22" s="29">
        <f ca="1" t="shared" si="1"/>
        <v>0.581644599159331</v>
      </c>
      <c r="Y22" s="32">
        <f ca="1" t="shared" si="10"/>
        <v>7.15986704964052</v>
      </c>
      <c r="Z22" s="31"/>
      <c r="AA22" s="31"/>
      <c r="AB22" s="32"/>
      <c r="AD22" s="29">
        <f ca="1" t="shared" si="11"/>
        <v>0.581644599159331</v>
      </c>
      <c r="AE22" s="31">
        <f t="shared" si="12"/>
        <v>3181.5</v>
      </c>
      <c r="AF22">
        <v>25</v>
      </c>
      <c r="AG22">
        <f ca="1" t="shared" si="13"/>
        <v>3183.70308147623</v>
      </c>
      <c r="AI22" s="29">
        <f ca="1" t="shared" si="14"/>
        <v>0.220308147622836</v>
      </c>
    </row>
    <row r="23" spans="2:35">
      <c r="B23">
        <v>19</v>
      </c>
      <c r="C23" s="8">
        <f>Digital!C23</f>
        <v>50</v>
      </c>
      <c r="D23" s="8">
        <f>Accuracy!G22</f>
        <v>4160</v>
      </c>
      <c r="E23" s="8">
        <f>Thermistor!K23</f>
        <v>3380.12865553113</v>
      </c>
      <c r="F23" s="30">
        <f>Digital!D23</f>
        <v>0.187725631768953</v>
      </c>
      <c r="N23">
        <f t="shared" si="2"/>
        <v>49.9</v>
      </c>
      <c r="O23" s="31">
        <f t="shared" si="3"/>
        <v>4173.49136648971</v>
      </c>
      <c r="P23" s="29">
        <f t="shared" si="4"/>
        <v>0.188219856652661</v>
      </c>
      <c r="Q23" s="31">
        <f t="shared" si="5"/>
        <v>11</v>
      </c>
      <c r="R23" s="31"/>
      <c r="S23" s="29">
        <f t="shared" si="6"/>
        <v>0.566</v>
      </c>
      <c r="T23" s="31">
        <f t="shared" si="7"/>
        <v>18547</v>
      </c>
      <c r="U23" s="29">
        <f t="shared" si="0"/>
        <v>0.332543916347458</v>
      </c>
      <c r="V23" s="29">
        <f t="shared" si="8"/>
        <v>5448.39952543675</v>
      </c>
      <c r="W23" s="32">
        <f ca="1" t="shared" si="9"/>
        <v>5455.21792768545</v>
      </c>
      <c r="X23" s="29">
        <f ca="1" t="shared" si="1"/>
        <v>0.565292564344097</v>
      </c>
      <c r="Y23" s="32">
        <f ca="1" t="shared" si="10"/>
        <v>6.81840224870484</v>
      </c>
      <c r="Z23" s="31"/>
      <c r="AA23" s="31"/>
      <c r="AB23" s="32"/>
      <c r="AD23" s="29">
        <f ca="1" t="shared" si="11"/>
        <v>0.565292564344097</v>
      </c>
      <c r="AE23" s="31">
        <f t="shared" si="12"/>
        <v>3231.5</v>
      </c>
      <c r="AF23">
        <v>20</v>
      </c>
      <c r="AG23">
        <f ca="1" t="shared" si="13"/>
        <v>3233.78582895202</v>
      </c>
      <c r="AI23" s="29">
        <f ca="1" t="shared" si="14"/>
        <v>0.228582895201725</v>
      </c>
    </row>
    <row r="24" spans="2:35">
      <c r="B24">
        <v>20</v>
      </c>
      <c r="C24" s="8">
        <f>Digital!C24</f>
        <v>55</v>
      </c>
      <c r="D24" s="8">
        <f>Accuracy!G23</f>
        <v>3536</v>
      </c>
      <c r="E24" s="8">
        <f>Thermistor!K24</f>
        <v>3390.37409825576</v>
      </c>
      <c r="F24" s="30">
        <f>Digital!D24</f>
        <v>0.164190193164933</v>
      </c>
      <c r="N24">
        <f t="shared" si="2"/>
        <v>54.9</v>
      </c>
      <c r="O24" s="31">
        <f t="shared" si="3"/>
        <v>3547.15402212705</v>
      </c>
      <c r="P24" s="29">
        <f t="shared" si="4"/>
        <v>0.164622855458518</v>
      </c>
      <c r="Q24" s="31">
        <f t="shared" si="5"/>
        <v>12</v>
      </c>
      <c r="R24" s="31"/>
      <c r="S24" s="29">
        <f t="shared" si="6"/>
        <v>0.549666666666667</v>
      </c>
      <c r="T24" s="31">
        <f t="shared" si="7"/>
        <v>18011</v>
      </c>
      <c r="U24" s="29">
        <f t="shared" si="0"/>
        <v>0.299495795255036</v>
      </c>
      <c r="V24" s="29">
        <f t="shared" si="8"/>
        <v>4906.93910945851</v>
      </c>
      <c r="W24" s="32">
        <f ca="1" t="shared" si="9"/>
        <v>4912.75866259148</v>
      </c>
      <c r="X24" s="29">
        <f ca="1" t="shared" si="1"/>
        <v>0.549015542809017</v>
      </c>
      <c r="Y24" s="32">
        <f ca="1" t="shared" si="10"/>
        <v>5.81955313296567</v>
      </c>
      <c r="Z24" s="31"/>
      <c r="AA24" s="31"/>
      <c r="AB24" s="32"/>
      <c r="AD24" s="29">
        <f ca="1" t="shared" si="11"/>
        <v>0.549015542809017</v>
      </c>
      <c r="AE24" s="31">
        <f t="shared" si="12"/>
        <v>3281.5</v>
      </c>
      <c r="AF24">
        <v>15</v>
      </c>
      <c r="AG24">
        <f ca="1" t="shared" si="13"/>
        <v>3283.63501092592</v>
      </c>
      <c r="AI24" s="29">
        <f ca="1" t="shared" si="14"/>
        <v>0.213501092592105</v>
      </c>
    </row>
    <row r="25" spans="2:35">
      <c r="B25">
        <v>21</v>
      </c>
      <c r="C25" s="8">
        <f>Digital!C25</f>
        <v>60</v>
      </c>
      <c r="D25" s="8">
        <f>Accuracy!G24</f>
        <v>3020</v>
      </c>
      <c r="E25" s="8">
        <f>Thermistor!K25</f>
        <v>3397.97219349093</v>
      </c>
      <c r="F25" s="30">
        <f>Digital!D25</f>
        <v>0.143672692673644</v>
      </c>
      <c r="N25">
        <f t="shared" si="2"/>
        <v>59.9</v>
      </c>
      <c r="O25" s="31">
        <f t="shared" si="3"/>
        <v>3029.26280843857</v>
      </c>
      <c r="P25" s="29">
        <f t="shared" si="4"/>
        <v>0.144049881160028</v>
      </c>
      <c r="Q25" s="31">
        <f t="shared" si="5"/>
        <v>12</v>
      </c>
      <c r="R25" s="31"/>
      <c r="S25" s="29">
        <f t="shared" si="6"/>
        <v>0.533333333333333</v>
      </c>
      <c r="T25" s="31">
        <f t="shared" si="7"/>
        <v>17476</v>
      </c>
      <c r="U25" s="29">
        <f t="shared" si="0"/>
        <v>0.270093527175052</v>
      </c>
      <c r="V25" s="29">
        <f t="shared" si="8"/>
        <v>4425.21234923606</v>
      </c>
      <c r="W25" s="32">
        <f ca="1" t="shared" si="9"/>
        <v>4428.56539110539</v>
      </c>
      <c r="X25" s="29">
        <f ca="1" t="shared" si="1"/>
        <v>0.532929525589957</v>
      </c>
      <c r="Y25" s="32">
        <f ca="1" t="shared" si="10"/>
        <v>3.35304186933354</v>
      </c>
      <c r="Z25" s="31"/>
      <c r="AA25" s="31"/>
      <c r="AB25" s="32"/>
      <c r="AD25" s="29">
        <f ca="1" t="shared" si="11"/>
        <v>0.532929525589957</v>
      </c>
      <c r="AE25" s="31">
        <f t="shared" si="12"/>
        <v>3331.5</v>
      </c>
      <c r="AF25">
        <v>10</v>
      </c>
      <c r="AG25">
        <f ca="1" t="shared" si="13"/>
        <v>3332.89443012454</v>
      </c>
      <c r="AI25" s="29">
        <f ca="1" t="shared" si="14"/>
        <v>0.139443012453921</v>
      </c>
    </row>
    <row r="26" spans="2:35">
      <c r="B26">
        <v>22</v>
      </c>
      <c r="C26" s="8">
        <f>Digital!C26</f>
        <v>65</v>
      </c>
      <c r="D26" s="8">
        <f>Accuracy!G25</f>
        <v>2588</v>
      </c>
      <c r="E26" s="8">
        <f>Thermistor!K26</f>
        <v>3406.93961990911</v>
      </c>
      <c r="F26" s="30">
        <f>Digital!D26</f>
        <v>0.125704293763357</v>
      </c>
      <c r="N26">
        <f t="shared" si="2"/>
        <v>64.9</v>
      </c>
      <c r="O26" s="31">
        <f t="shared" si="3"/>
        <v>2595.72477293467</v>
      </c>
      <c r="P26" s="29">
        <f t="shared" si="4"/>
        <v>0.126032213071024</v>
      </c>
      <c r="Q26" s="31">
        <f t="shared" si="5"/>
        <v>12</v>
      </c>
      <c r="R26" s="31"/>
      <c r="S26" s="29">
        <f t="shared" si="6"/>
        <v>0.517</v>
      </c>
      <c r="T26" s="31">
        <f t="shared" si="7"/>
        <v>16941</v>
      </c>
      <c r="U26" s="29">
        <f t="shared" si="0"/>
        <v>0.243776040756332</v>
      </c>
      <c r="V26" s="29">
        <f t="shared" si="8"/>
        <v>3994.02665175175</v>
      </c>
      <c r="W26" s="32">
        <f ca="1" t="shared" si="9"/>
        <v>3995.14786605886</v>
      </c>
      <c r="X26" s="29">
        <f ca="1" t="shared" si="1"/>
        <v>0.516854907048198</v>
      </c>
      <c r="Y26" s="32">
        <f ca="1" t="shared" si="10"/>
        <v>1.12121430710386</v>
      </c>
      <c r="Z26" s="31"/>
      <c r="AA26" s="31"/>
      <c r="AB26" s="32"/>
      <c r="AD26" s="29">
        <f ca="1" t="shared" si="11"/>
        <v>0.516854907048198</v>
      </c>
      <c r="AE26" s="31">
        <f t="shared" si="12"/>
        <v>3381.5</v>
      </c>
      <c r="AF26">
        <v>5</v>
      </c>
      <c r="AG26">
        <f ca="1" t="shared" si="13"/>
        <v>3382.11312578846</v>
      </c>
      <c r="AI26" s="29">
        <f ca="1" t="shared" si="14"/>
        <v>0.061312578846173</v>
      </c>
    </row>
    <row r="27" spans="2:35">
      <c r="B27">
        <v>23</v>
      </c>
      <c r="C27" s="8">
        <f>Digital!C27</f>
        <v>70</v>
      </c>
      <c r="D27" s="8">
        <f>Accuracy!G26</f>
        <v>2228</v>
      </c>
      <c r="E27" s="8">
        <f>Thermistor!K27</f>
        <v>3413.70570398177</v>
      </c>
      <c r="F27" s="30">
        <f>Digital!D27</f>
        <v>0.110144354360293</v>
      </c>
      <c r="N27">
        <f t="shared" si="2"/>
        <v>69.9</v>
      </c>
      <c r="O27" s="31">
        <f t="shared" si="3"/>
        <v>2234.4703786602</v>
      </c>
      <c r="P27" s="29">
        <f t="shared" si="4"/>
        <v>0.110428903591009</v>
      </c>
      <c r="Q27" s="31">
        <f t="shared" si="5"/>
        <v>12</v>
      </c>
      <c r="R27" s="31"/>
      <c r="S27" s="29">
        <f t="shared" si="6"/>
        <v>0.500666666666667</v>
      </c>
      <c r="T27" s="31">
        <f t="shared" si="7"/>
        <v>16406</v>
      </c>
      <c r="U27" s="29">
        <f t="shared" si="0"/>
        <v>0.22056372221906</v>
      </c>
      <c r="V27" s="29">
        <f t="shared" si="8"/>
        <v>3613.71602483708</v>
      </c>
      <c r="W27" s="32">
        <f ca="1" t="shared" si="9"/>
        <v>3612.21106724116</v>
      </c>
      <c r="X27" s="29">
        <f ca="1" t="shared" si="1"/>
        <v>0.500875259710926</v>
      </c>
      <c r="Y27" s="32">
        <f ca="1" t="shared" si="10"/>
        <v>-1.5049575959174</v>
      </c>
      <c r="Z27" s="31"/>
      <c r="AA27" s="31"/>
      <c r="AB27" s="32"/>
      <c r="AD27" s="29">
        <f ca="1" t="shared" si="11"/>
        <v>0.500875259710926</v>
      </c>
      <c r="AE27" s="31">
        <f t="shared" si="12"/>
        <v>3431.5</v>
      </c>
      <c r="AF27">
        <v>0</v>
      </c>
      <c r="AG27">
        <f ca="1" t="shared" si="13"/>
        <v>3431.03423306166</v>
      </c>
      <c r="AI27" s="29">
        <f ca="1" t="shared" si="14"/>
        <v>-0.0465766938341403</v>
      </c>
    </row>
    <row r="28" spans="2:35">
      <c r="B28">
        <v>24</v>
      </c>
      <c r="C28" s="8">
        <f>Digital!C28</f>
        <v>75</v>
      </c>
      <c r="D28" s="8">
        <f>Accuracy!G27</f>
        <v>1924</v>
      </c>
      <c r="E28" s="8">
        <f>Thermistor!K28</f>
        <v>3421.64947469587</v>
      </c>
      <c r="F28" s="30">
        <f>Digital!D28</f>
        <v>0.0965669544268219</v>
      </c>
      <c r="N28">
        <f t="shared" si="2"/>
        <v>74.9</v>
      </c>
      <c r="O28" s="31">
        <f t="shared" si="3"/>
        <v>1929.44058829132</v>
      </c>
      <c r="P28" s="29">
        <f t="shared" si="4"/>
        <v>0.0968135848943434</v>
      </c>
      <c r="Q28" s="31">
        <f t="shared" si="5"/>
        <v>12</v>
      </c>
      <c r="R28" s="31"/>
      <c r="S28" s="29">
        <f t="shared" si="6"/>
        <v>0.484333333333333</v>
      </c>
      <c r="T28" s="31">
        <f t="shared" si="7"/>
        <v>15871</v>
      </c>
      <c r="U28" s="29">
        <f t="shared" si="0"/>
        <v>0.19989040239713</v>
      </c>
      <c r="V28" s="29">
        <f t="shared" si="8"/>
        <v>3275.00435287458</v>
      </c>
      <c r="W28" s="32">
        <f ca="1" t="shared" si="9"/>
        <v>3271.93063314468</v>
      </c>
      <c r="X28" s="29">
        <f ca="1" t="shared" si="1"/>
        <v>0.484788326146273</v>
      </c>
      <c r="Y28" s="32">
        <f ca="1" t="shared" si="10"/>
        <v>-3.07371972990632</v>
      </c>
      <c r="Z28" s="31"/>
      <c r="AA28" s="31"/>
      <c r="AB28" s="32"/>
      <c r="AD28" s="29">
        <f ca="1" t="shared" si="11"/>
        <v>0.484788326146273</v>
      </c>
      <c r="AE28" s="31">
        <f t="shared" si="12"/>
        <v>3481.5</v>
      </c>
      <c r="AF28">
        <v>-5</v>
      </c>
      <c r="AG28">
        <f ca="1" t="shared" si="13"/>
        <v>3480.27590777968</v>
      </c>
      <c r="AI28" s="29">
        <f ca="1" t="shared" si="14"/>
        <v>-0.122409222032275</v>
      </c>
    </row>
    <row r="29" spans="2:35">
      <c r="B29">
        <v>25</v>
      </c>
      <c r="C29" s="8">
        <f>Digital!C29</f>
        <v>80</v>
      </c>
      <c r="D29" s="8">
        <f>Accuracy!G28</f>
        <v>1668</v>
      </c>
      <c r="E29" s="8">
        <f>Thermistor!K29</f>
        <v>3428.60275582019</v>
      </c>
      <c r="F29" s="30">
        <f>Digital!D29</f>
        <v>0.0848078096400244</v>
      </c>
      <c r="N29">
        <f t="shared" si="2"/>
        <v>79.9</v>
      </c>
      <c r="O29" s="31">
        <f t="shared" si="3"/>
        <v>1672.59319693612</v>
      </c>
      <c r="P29" s="29">
        <f t="shared" si="4"/>
        <v>0.0850214905677316</v>
      </c>
      <c r="Q29" s="31">
        <f t="shared" si="5"/>
        <v>13</v>
      </c>
      <c r="R29" s="31"/>
      <c r="S29" s="29">
        <f t="shared" si="6"/>
        <v>0.468</v>
      </c>
      <c r="T29" s="31">
        <f t="shared" si="7"/>
        <v>15335</v>
      </c>
      <c r="U29" s="29">
        <f t="shared" si="0"/>
        <v>0.181669851640452</v>
      </c>
      <c r="V29" s="29">
        <f t="shared" si="8"/>
        <v>2976.47884927717</v>
      </c>
      <c r="W29" s="32">
        <f ca="1" t="shared" si="9"/>
        <v>2972.34346038345</v>
      </c>
      <c r="X29" s="29">
        <f ca="1" t="shared" si="1"/>
        <v>0.46865112327295</v>
      </c>
      <c r="Y29" s="32">
        <f ca="1" t="shared" si="10"/>
        <v>-4.1353888937133</v>
      </c>
      <c r="Z29" s="31"/>
      <c r="AA29" s="31"/>
      <c r="AB29" s="32"/>
      <c r="AD29" s="29">
        <f ca="1" t="shared" si="11"/>
        <v>0.46865112327295</v>
      </c>
      <c r="AE29" s="31">
        <f t="shared" si="12"/>
        <v>3531.5</v>
      </c>
      <c r="AF29">
        <v>-10</v>
      </c>
      <c r="AG29">
        <f ca="1" t="shared" si="13"/>
        <v>3529.6624567953</v>
      </c>
      <c r="AI29" s="29">
        <f ca="1" t="shared" si="14"/>
        <v>-0.183754320470416</v>
      </c>
    </row>
    <row r="30" spans="2:35">
      <c r="B30">
        <v>26</v>
      </c>
      <c r="C30" s="8">
        <f>Digital!C30</f>
        <v>85</v>
      </c>
      <c r="D30" s="8">
        <f>Accuracy!G29</f>
        <v>1451</v>
      </c>
      <c r="E30" s="8">
        <f>Thermistor!K30</f>
        <v>3435.42566510336</v>
      </c>
      <c r="F30" s="30">
        <f>Digital!D30</f>
        <v>0.074597707058763</v>
      </c>
      <c r="N30">
        <f t="shared" si="2"/>
        <v>84.9</v>
      </c>
      <c r="O30" s="31">
        <f t="shared" si="3"/>
        <v>1454.8924334941</v>
      </c>
      <c r="P30" s="29">
        <f t="shared" si="4"/>
        <v>0.0747828567270472</v>
      </c>
      <c r="Q30" s="31">
        <f t="shared" si="5"/>
        <v>13</v>
      </c>
      <c r="R30" s="31"/>
      <c r="S30" s="29">
        <f t="shared" si="6"/>
        <v>0.451666666666667</v>
      </c>
      <c r="T30" s="31">
        <f t="shared" si="7"/>
        <v>14800</v>
      </c>
      <c r="U30" s="29">
        <f t="shared" si="0"/>
        <v>0.165570900502687</v>
      </c>
      <c r="V30" s="29">
        <f t="shared" si="8"/>
        <v>2712.71363383603</v>
      </c>
      <c r="W30" s="32">
        <f ca="1" t="shared" si="9"/>
        <v>2708.38062595682</v>
      </c>
      <c r="X30" s="29">
        <f ca="1" t="shared" si="1"/>
        <v>0.45238926643964</v>
      </c>
      <c r="Y30" s="32">
        <f ca="1" t="shared" si="10"/>
        <v>-4.33300787920598</v>
      </c>
      <c r="Z30" s="31"/>
      <c r="AA30" s="31"/>
      <c r="AB30" s="32"/>
      <c r="AD30" s="29">
        <f ca="1" t="shared" si="11"/>
        <v>0.45238926643964</v>
      </c>
      <c r="AE30" s="31">
        <f t="shared" si="12"/>
        <v>3581.5</v>
      </c>
      <c r="AF30">
        <v>-15</v>
      </c>
      <c r="AG30">
        <f ca="1" t="shared" si="13"/>
        <v>3579.42031143101</v>
      </c>
      <c r="AI30" s="29">
        <f ca="1" t="shared" si="14"/>
        <v>-0.207968856899151</v>
      </c>
    </row>
    <row r="31" spans="2:35">
      <c r="B31">
        <v>27</v>
      </c>
      <c r="C31" s="8">
        <f>Digital!C31</f>
        <v>90</v>
      </c>
      <c r="D31" s="8">
        <f>Accuracy!G30</f>
        <v>1266</v>
      </c>
      <c r="E31" s="8">
        <f>Thermistor!K31</f>
        <v>3442.62509087802</v>
      </c>
      <c r="F31" s="30">
        <f>Digital!D31</f>
        <v>0.0657116163189038</v>
      </c>
      <c r="N31">
        <f t="shared" si="2"/>
        <v>89.9</v>
      </c>
      <c r="O31" s="31">
        <f t="shared" si="3"/>
        <v>1269.31007687561</v>
      </c>
      <c r="P31" s="29">
        <f t="shared" si="4"/>
        <v>0.0658721081248707</v>
      </c>
      <c r="Q31" s="31">
        <f t="shared" si="5"/>
        <v>13</v>
      </c>
      <c r="R31" s="31"/>
      <c r="S31" s="29">
        <f t="shared" si="6"/>
        <v>0.435333333333333</v>
      </c>
      <c r="T31" s="31">
        <f t="shared" si="7"/>
        <v>14265</v>
      </c>
      <c r="U31" s="29">
        <f t="shared" si="0"/>
        <v>0.151314184054068</v>
      </c>
      <c r="V31" s="29">
        <f t="shared" si="8"/>
        <v>2479.13159154184</v>
      </c>
      <c r="W31" s="32">
        <f ca="1" t="shared" si="9"/>
        <v>2475.62771853922</v>
      </c>
      <c r="X31" s="29">
        <f ca="1" t="shared" si="1"/>
        <v>0.435949481190455</v>
      </c>
      <c r="Y31" s="32">
        <f ca="1" t="shared" si="10"/>
        <v>-3.50387300262173</v>
      </c>
      <c r="Z31" s="31"/>
      <c r="AA31" s="31"/>
      <c r="AB31" s="32"/>
      <c r="AD31" s="29">
        <f ca="1" t="shared" si="11"/>
        <v>0.435949481190455</v>
      </c>
      <c r="AE31" s="31">
        <f t="shared" si="12"/>
        <v>3631.5</v>
      </c>
      <c r="AF31">
        <v>-20</v>
      </c>
      <c r="AG31">
        <f ca="1" t="shared" si="13"/>
        <v>3629.7110949427</v>
      </c>
      <c r="AI31" s="29">
        <f ca="1" t="shared" si="14"/>
        <v>-0.178890505730033</v>
      </c>
    </row>
    <row r="32" spans="2:35">
      <c r="B32">
        <v>28</v>
      </c>
      <c r="C32" s="8">
        <f>Digital!C32</f>
        <v>95</v>
      </c>
      <c r="D32" s="8">
        <f>Accuracy!G31</f>
        <v>1108</v>
      </c>
      <c r="E32" s="8">
        <f>Thermistor!K32</f>
        <v>3449.76797548963</v>
      </c>
      <c r="F32" s="30">
        <f>Digital!D32</f>
        <v>0.0579861837973624</v>
      </c>
      <c r="N32">
        <f t="shared" si="2"/>
        <v>94.9</v>
      </c>
      <c r="O32" s="31">
        <f t="shared" si="3"/>
        <v>1110.82456123066</v>
      </c>
      <c r="P32" s="29">
        <f t="shared" si="4"/>
        <v>0.0581254125206163</v>
      </c>
      <c r="Q32" s="31">
        <f t="shared" si="5"/>
        <v>13</v>
      </c>
      <c r="R32" s="31"/>
      <c r="S32" s="29">
        <f t="shared" si="6"/>
        <v>0.419</v>
      </c>
      <c r="T32" s="31">
        <f t="shared" si="7"/>
        <v>13730</v>
      </c>
      <c r="U32" s="29">
        <f t="shared" si="0"/>
        <v>0.138724134894072</v>
      </c>
      <c r="V32" s="29">
        <f t="shared" si="8"/>
        <v>2272.85622610448</v>
      </c>
      <c r="W32" s="32">
        <f ca="1" t="shared" si="9"/>
        <v>2270.91385615803</v>
      </c>
      <c r="X32" s="29">
        <f ca="1" t="shared" si="1"/>
        <v>0.419358381276927</v>
      </c>
      <c r="Y32" s="32">
        <f ca="1" t="shared" si="10"/>
        <v>-1.94236994644598</v>
      </c>
      <c r="Z32" s="31"/>
      <c r="AA32" s="31"/>
      <c r="AB32" s="32"/>
      <c r="AD32" s="29">
        <f ca="1" t="shared" si="11"/>
        <v>0.419358381276927</v>
      </c>
      <c r="AE32" s="31">
        <f t="shared" si="12"/>
        <v>3681.5</v>
      </c>
      <c r="AF32">
        <v>-25</v>
      </c>
      <c r="AG32">
        <f ca="1" t="shared" si="13"/>
        <v>3680.45191514402</v>
      </c>
      <c r="AI32" s="29">
        <f ca="1" t="shared" si="14"/>
        <v>-0.104808485598141</v>
      </c>
    </row>
    <row r="33" spans="2:35">
      <c r="B33">
        <v>29</v>
      </c>
      <c r="C33" s="8">
        <f>Digital!C33</f>
        <v>100</v>
      </c>
      <c r="D33" s="8">
        <f>Accuracy!G32</f>
        <v>973.1</v>
      </c>
      <c r="E33" s="8">
        <f>Thermistor!K33</f>
        <v>3456.09453809419</v>
      </c>
      <c r="F33" s="30">
        <f>Digital!D33</f>
        <v>0.0512884030548513</v>
      </c>
      <c r="N33">
        <f t="shared" si="2"/>
        <v>99.9</v>
      </c>
      <c r="O33" s="31">
        <f t="shared" si="3"/>
        <v>975.518977520259</v>
      </c>
      <c r="P33" s="29">
        <f t="shared" si="4"/>
        <v>0.0514093437273535</v>
      </c>
      <c r="Q33" s="31">
        <f t="shared" si="5"/>
        <v>14</v>
      </c>
      <c r="R33" s="31"/>
      <c r="S33" s="29">
        <f t="shared" si="6"/>
        <v>0.402666666666667</v>
      </c>
      <c r="T33" s="31">
        <f t="shared" si="7"/>
        <v>13195</v>
      </c>
      <c r="U33" s="29">
        <f t="shared" si="0"/>
        <v>0.127672211243428</v>
      </c>
      <c r="V33" s="29">
        <f t="shared" si="8"/>
        <v>2091.78150901232</v>
      </c>
      <c r="W33" s="32">
        <f ca="1" t="shared" si="9"/>
        <v>2091.60071792276</v>
      </c>
      <c r="X33" s="29">
        <f ca="1" t="shared" si="1"/>
        <v>0.402701471849496</v>
      </c>
      <c r="Y33" s="32">
        <f ca="1" t="shared" si="10"/>
        <v>-0.180791089554987</v>
      </c>
      <c r="Z33" s="31"/>
      <c r="AA33" s="31"/>
      <c r="AB33" s="32"/>
      <c r="AD33" s="29">
        <f ca="1" t="shared" si="11"/>
        <v>0.402701471849496</v>
      </c>
      <c r="AE33" s="31">
        <f t="shared" si="12"/>
        <v>3731.5</v>
      </c>
      <c r="AF33">
        <v>-30</v>
      </c>
      <c r="AG33">
        <f ca="1" t="shared" si="13"/>
        <v>3731.37986491631</v>
      </c>
      <c r="AI33" s="29">
        <f ca="1" t="shared" si="14"/>
        <v>-0.0120135083686364</v>
      </c>
    </row>
    <row r="34" spans="2:35">
      <c r="B34">
        <v>30</v>
      </c>
      <c r="C34" s="8">
        <f>Digital!C34</f>
        <v>105</v>
      </c>
      <c r="D34" s="8">
        <f>Accuracy!G33</f>
        <v>857.2</v>
      </c>
      <c r="E34" s="8">
        <f>Thermistor!K34</f>
        <v>3462.22745708295</v>
      </c>
      <c r="F34" s="30">
        <f>Digital!D34</f>
        <v>0.0454574380077636</v>
      </c>
      <c r="N34">
        <f t="shared" si="2"/>
        <v>104.9</v>
      </c>
      <c r="O34" s="31">
        <f t="shared" si="3"/>
        <v>859.278501822212</v>
      </c>
      <c r="P34" s="29">
        <f t="shared" si="4"/>
        <v>0.0455626391931795</v>
      </c>
      <c r="Q34" s="31">
        <f t="shared" si="5"/>
        <v>14</v>
      </c>
      <c r="R34" s="31"/>
      <c r="S34" s="29">
        <f t="shared" si="6"/>
        <v>0.386333333333333</v>
      </c>
      <c r="T34" s="31">
        <f t="shared" si="7"/>
        <v>12659</v>
      </c>
      <c r="U34" s="29">
        <f t="shared" si="0"/>
        <v>0.117936080741621</v>
      </c>
      <c r="V34" s="29">
        <f t="shared" si="8"/>
        <v>1932.26474687072</v>
      </c>
      <c r="W34" s="32">
        <f ca="1" t="shared" si="9"/>
        <v>1934.0759102541</v>
      </c>
      <c r="X34" s="29">
        <f ca="1" t="shared" si="1"/>
        <v>0.385971551883389</v>
      </c>
      <c r="Y34" s="32">
        <f ca="1" t="shared" si="10"/>
        <v>1.81116338338575</v>
      </c>
      <c r="Z34" s="31"/>
      <c r="AA34" s="31"/>
      <c r="AB34" s="32"/>
      <c r="AD34" s="29">
        <f ca="1" t="shared" si="11"/>
        <v>0.385971551883389</v>
      </c>
      <c r="AE34" s="31">
        <f t="shared" si="12"/>
        <v>3781.5</v>
      </c>
      <c r="AF34">
        <v>-35</v>
      </c>
      <c r="AG34">
        <f ca="1" t="shared" si="13"/>
        <v>3782.51561494145</v>
      </c>
      <c r="AI34" s="29">
        <f ca="1" t="shared" si="14"/>
        <v>0.101561494145426</v>
      </c>
    </row>
    <row r="35" spans="1:35">
      <c r="A35">
        <v>0.37</v>
      </c>
      <c r="B35">
        <v>31</v>
      </c>
      <c r="C35" s="8">
        <f>Digital!C35</f>
        <v>110</v>
      </c>
      <c r="D35" s="8">
        <f>Accuracy!G34</f>
        <v>757.6</v>
      </c>
      <c r="E35" s="8">
        <f>Thermistor!K35</f>
        <v>3467.65222745505</v>
      </c>
      <c r="F35" s="30">
        <f>Digital!D35</f>
        <v>0.0403889623405979</v>
      </c>
      <c r="N35">
        <f t="shared" si="2"/>
        <v>109.9</v>
      </c>
      <c r="O35" s="31">
        <f t="shared" si="3"/>
        <v>759.392108760163</v>
      </c>
      <c r="P35" s="29">
        <f t="shared" ref="P35:P40" si="15">(O35+$H$5)/(O35+$H$5+$G$5)</f>
        <v>0.0404806352123503</v>
      </c>
      <c r="Q35" s="31">
        <f t="shared" si="5"/>
        <v>14</v>
      </c>
      <c r="R35" s="31"/>
      <c r="S35" s="29">
        <f t="shared" si="6"/>
        <v>0.37</v>
      </c>
      <c r="T35" s="31">
        <f t="shared" si="7"/>
        <v>12124</v>
      </c>
      <c r="U35" s="29">
        <f t="shared" si="0"/>
        <v>0.109407122195541</v>
      </c>
      <c r="V35" s="29">
        <f t="shared" si="8"/>
        <v>1792.52629005175</v>
      </c>
      <c r="W35" s="32">
        <f ca="1" t="shared" si="9"/>
        <v>1796.05428106433</v>
      </c>
      <c r="X35" s="29">
        <f ca="1" t="shared" si="1"/>
        <v>0.369273208672801</v>
      </c>
      <c r="Y35" s="32">
        <f ca="1" t="shared" si="10"/>
        <v>3.52799101258324</v>
      </c>
      <c r="Z35" s="31"/>
      <c r="AA35" s="31"/>
      <c r="AB35" s="32"/>
      <c r="AD35" s="29">
        <f ca="1" t="shared" si="11"/>
        <v>0.369273208672801</v>
      </c>
      <c r="AE35" s="31">
        <f t="shared" si="12"/>
        <v>3831.5</v>
      </c>
      <c r="AF35">
        <v>-40</v>
      </c>
      <c r="AG35">
        <f ca="1" t="shared" ref="AG35:AG40" si="16">$AD$43*AD35^3+$AE$43*AD35^2+$AF$43*AD35+$AG$43</f>
        <v>3833.53826129006</v>
      </c>
      <c r="AI35" s="29">
        <f ca="1" t="shared" si="14"/>
        <v>0.203826129006393</v>
      </c>
    </row>
    <row r="36" spans="2:35">
      <c r="B36">
        <v>32</v>
      </c>
      <c r="C36" s="8">
        <f>Digital!C36</f>
        <v>115</v>
      </c>
      <c r="D36" s="8">
        <f>Accuracy!G35</f>
        <v>0</v>
      </c>
      <c r="E36" s="8" t="e">
        <f>Thermistor!K36</f>
        <v>#NUM!</v>
      </c>
      <c r="F36" s="30">
        <f>Digital!D36</f>
        <v>0</v>
      </c>
      <c r="N36">
        <f t="shared" si="2"/>
        <v>114.9</v>
      </c>
      <c r="O36" s="31" t="e">
        <f t="shared" si="3"/>
        <v>#NUM!</v>
      </c>
      <c r="P36" s="29" t="e">
        <f t="shared" si="15"/>
        <v>#NUM!</v>
      </c>
      <c r="Q36" s="31" t="e">
        <f t="shared" si="5"/>
        <v>#NUM!</v>
      </c>
      <c r="R36" s="31"/>
      <c r="S36" s="29">
        <f t="shared" si="6"/>
        <v>0.353666666666667</v>
      </c>
      <c r="T36" s="31">
        <f t="shared" si="7"/>
        <v>11589</v>
      </c>
      <c r="U36" s="29" t="e">
        <f t="shared" si="0"/>
        <v>#NUM!</v>
      </c>
      <c r="V36" s="29" t="e">
        <f t="shared" si="8"/>
        <v>#NUM!</v>
      </c>
      <c r="W36" s="32" t="e">
        <f ca="1" t="shared" si="9"/>
        <v>#NUM!</v>
      </c>
      <c r="X36" s="29" t="e">
        <f ca="1" t="shared" si="1"/>
        <v>#NUM!</v>
      </c>
      <c r="Y36" s="32" t="e">
        <f ca="1" t="shared" si="10"/>
        <v>#NUM!</v>
      </c>
      <c r="Z36" s="31"/>
      <c r="AA36" s="31"/>
      <c r="AB36" s="32"/>
      <c r="AD36" s="29" t="e">
        <f ca="1" t="shared" si="11"/>
        <v>#NUM!</v>
      </c>
      <c r="AE36" s="31">
        <f t="shared" si="12"/>
        <v>3881.5</v>
      </c>
      <c r="AF36">
        <v>-40</v>
      </c>
      <c r="AG36" t="e">
        <f ca="1" t="shared" si="16"/>
        <v>#NUM!</v>
      </c>
      <c r="AI36" s="29" t="e">
        <f ca="1" t="shared" si="14"/>
        <v>#NUM!</v>
      </c>
    </row>
    <row r="37" spans="2:35">
      <c r="B37">
        <v>33</v>
      </c>
      <c r="C37" s="8">
        <f>Digital!C37</f>
        <v>0</v>
      </c>
      <c r="D37" s="8">
        <f>Accuracy!G36</f>
        <v>0</v>
      </c>
      <c r="E37" s="8" t="e">
        <f>Thermistor!K37</f>
        <v>#NUM!</v>
      </c>
      <c r="F37" s="30">
        <f>Digital!D37</f>
        <v>0</v>
      </c>
      <c r="N37">
        <f t="shared" si="2"/>
        <v>-0.1</v>
      </c>
      <c r="O37" s="31" t="e">
        <f t="shared" si="3"/>
        <v>#NUM!</v>
      </c>
      <c r="P37" s="29" t="e">
        <f t="shared" si="15"/>
        <v>#NUM!</v>
      </c>
      <c r="Q37" s="31" t="e">
        <f t="shared" si="5"/>
        <v>#NUM!</v>
      </c>
      <c r="R37" s="31"/>
      <c r="S37" s="29">
        <f t="shared" si="6"/>
        <v>0.337333333333333</v>
      </c>
      <c r="T37" s="31">
        <f t="shared" si="7"/>
        <v>11054</v>
      </c>
      <c r="U37" s="29" t="e">
        <f t="shared" si="0"/>
        <v>#NUM!</v>
      </c>
      <c r="V37" s="29" t="e">
        <f t="shared" si="8"/>
        <v>#NUM!</v>
      </c>
      <c r="W37" s="32" t="e">
        <f ca="1" t="shared" si="9"/>
        <v>#NUM!</v>
      </c>
      <c r="X37" s="29" t="e">
        <f ca="1" t="shared" si="1"/>
        <v>#NUM!</v>
      </c>
      <c r="Y37" s="32" t="e">
        <f ca="1" t="shared" si="10"/>
        <v>#NUM!</v>
      </c>
      <c r="Z37" s="31"/>
      <c r="AA37" s="31"/>
      <c r="AB37" s="32"/>
      <c r="AD37" s="29" t="e">
        <f ca="1" t="shared" si="11"/>
        <v>#NUM!</v>
      </c>
      <c r="AE37" s="31">
        <f t="shared" si="12"/>
        <v>2731.5</v>
      </c>
      <c r="AF37">
        <v>-40</v>
      </c>
      <c r="AG37" t="e">
        <f ca="1" t="shared" si="16"/>
        <v>#NUM!</v>
      </c>
      <c r="AI37" s="29" t="e">
        <f ca="1" t="shared" si="14"/>
        <v>#NUM!</v>
      </c>
    </row>
    <row r="38" spans="2:35">
      <c r="B38">
        <v>34</v>
      </c>
      <c r="C38" s="8">
        <f>Digital!C38</f>
        <v>0</v>
      </c>
      <c r="D38" s="8">
        <f>Accuracy!G37</f>
        <v>0</v>
      </c>
      <c r="E38" s="8" t="e">
        <f>Thermistor!K38</f>
        <v>#NUM!</v>
      </c>
      <c r="F38" s="30">
        <f>Digital!D38</f>
        <v>0</v>
      </c>
      <c r="N38">
        <f t="shared" si="2"/>
        <v>-0.1</v>
      </c>
      <c r="O38" s="31" t="e">
        <f t="shared" si="3"/>
        <v>#NUM!</v>
      </c>
      <c r="P38" s="29" t="e">
        <f t="shared" si="15"/>
        <v>#NUM!</v>
      </c>
      <c r="Q38" s="31" t="e">
        <f t="shared" si="5"/>
        <v>#NUM!</v>
      </c>
      <c r="R38" s="31"/>
      <c r="S38" s="29">
        <f t="shared" si="6"/>
        <v>0.321</v>
      </c>
      <c r="T38" s="31">
        <f t="shared" si="7"/>
        <v>10519</v>
      </c>
      <c r="U38" s="29" t="e">
        <f t="shared" si="0"/>
        <v>#NUM!</v>
      </c>
      <c r="V38" s="29" t="e">
        <f t="shared" si="8"/>
        <v>#NUM!</v>
      </c>
      <c r="W38" s="32" t="e">
        <f ca="1" t="shared" si="9"/>
        <v>#NUM!</v>
      </c>
      <c r="X38" s="29" t="e">
        <f ca="1" t="shared" si="1"/>
        <v>#NUM!</v>
      </c>
      <c r="Y38" s="32" t="e">
        <f ca="1" t="shared" si="10"/>
        <v>#NUM!</v>
      </c>
      <c r="Z38" s="31"/>
      <c r="AA38" s="31"/>
      <c r="AB38" s="32"/>
      <c r="AD38" s="29" t="e">
        <f ca="1" t="shared" si="11"/>
        <v>#NUM!</v>
      </c>
      <c r="AE38" s="31">
        <f t="shared" si="12"/>
        <v>2731.5</v>
      </c>
      <c r="AF38">
        <v>-40</v>
      </c>
      <c r="AG38" t="e">
        <f ca="1" t="shared" si="16"/>
        <v>#NUM!</v>
      </c>
      <c r="AI38" s="29" t="e">
        <f ca="1" t="shared" si="14"/>
        <v>#NUM!</v>
      </c>
    </row>
    <row r="39" spans="2:35">
      <c r="B39">
        <v>35</v>
      </c>
      <c r="C39" s="8">
        <f>Digital!C39</f>
        <v>0</v>
      </c>
      <c r="D39" s="8">
        <f>Accuracy!G38</f>
        <v>0</v>
      </c>
      <c r="E39" s="8" t="e">
        <f>Thermistor!K39</f>
        <v>#NUM!</v>
      </c>
      <c r="F39" s="30">
        <f>Digital!D39</f>
        <v>0</v>
      </c>
      <c r="N39">
        <f t="shared" si="2"/>
        <v>-0.1</v>
      </c>
      <c r="O39" s="31" t="e">
        <f t="shared" si="3"/>
        <v>#NUM!</v>
      </c>
      <c r="P39" s="29" t="e">
        <f t="shared" si="15"/>
        <v>#NUM!</v>
      </c>
      <c r="Q39" s="31" t="e">
        <f t="shared" si="5"/>
        <v>#NUM!</v>
      </c>
      <c r="R39" s="31"/>
      <c r="S39" s="29">
        <f t="shared" si="6"/>
        <v>0.304666666666667</v>
      </c>
      <c r="T39" s="31">
        <f t="shared" si="7"/>
        <v>9983</v>
      </c>
      <c r="U39" s="29" t="e">
        <f t="shared" si="0"/>
        <v>#NUM!</v>
      </c>
      <c r="V39" s="29" t="e">
        <f t="shared" si="8"/>
        <v>#NUM!</v>
      </c>
      <c r="W39" s="32" t="e">
        <f ca="1" t="shared" si="9"/>
        <v>#NUM!</v>
      </c>
      <c r="X39" s="29" t="e">
        <f ca="1" t="shared" si="1"/>
        <v>#NUM!</v>
      </c>
      <c r="Y39" s="32" t="e">
        <f ca="1" t="shared" si="10"/>
        <v>#NUM!</v>
      </c>
      <c r="Z39" s="31"/>
      <c r="AA39" s="31"/>
      <c r="AB39" s="32"/>
      <c r="AD39" s="29" t="e">
        <f ca="1" t="shared" si="11"/>
        <v>#NUM!</v>
      </c>
      <c r="AE39" s="31">
        <f t="shared" si="12"/>
        <v>2731.5</v>
      </c>
      <c r="AF39">
        <v>-40</v>
      </c>
      <c r="AG39" t="e">
        <f ca="1" t="shared" si="16"/>
        <v>#NUM!</v>
      </c>
      <c r="AI39" s="29" t="e">
        <f ca="1" t="shared" si="14"/>
        <v>#NUM!</v>
      </c>
    </row>
    <row r="40" spans="2:35">
      <c r="B40">
        <v>36</v>
      </c>
      <c r="C40" s="8">
        <f>Digital!C40</f>
        <v>0</v>
      </c>
      <c r="D40" s="8">
        <f>Accuracy!G39</f>
        <v>0</v>
      </c>
      <c r="E40" s="8" t="e">
        <f>Thermistor!K40</f>
        <v>#NUM!</v>
      </c>
      <c r="F40" s="30">
        <f>Digital!D40</f>
        <v>0</v>
      </c>
      <c r="N40">
        <f t="shared" si="2"/>
        <v>-0.1</v>
      </c>
      <c r="O40" s="31" t="e">
        <f t="shared" si="3"/>
        <v>#NUM!</v>
      </c>
      <c r="P40" s="29" t="e">
        <f t="shared" si="15"/>
        <v>#NUM!</v>
      </c>
      <c r="Q40" s="31" t="e">
        <f t="shared" si="5"/>
        <v>#NUM!</v>
      </c>
      <c r="R40" s="31"/>
      <c r="S40" s="29">
        <f t="shared" si="6"/>
        <v>0.288333333333333</v>
      </c>
      <c r="T40" s="31">
        <f t="shared" si="7"/>
        <v>9448</v>
      </c>
      <c r="U40" s="29" t="e">
        <f t="shared" si="0"/>
        <v>#NUM!</v>
      </c>
      <c r="V40" s="29" t="e">
        <f t="shared" si="8"/>
        <v>#NUM!</v>
      </c>
      <c r="W40" s="32" t="e">
        <f ca="1" t="shared" si="9"/>
        <v>#NUM!</v>
      </c>
      <c r="X40" s="29" t="e">
        <f ca="1" t="shared" si="1"/>
        <v>#NUM!</v>
      </c>
      <c r="Y40" s="32" t="e">
        <f ca="1" t="shared" si="10"/>
        <v>#NUM!</v>
      </c>
      <c r="Z40" s="31"/>
      <c r="AA40" s="31"/>
      <c r="AB40" s="32"/>
      <c r="AD40" s="29" t="e">
        <f ca="1" t="shared" si="11"/>
        <v>#NUM!</v>
      </c>
      <c r="AE40" s="31">
        <f t="shared" si="12"/>
        <v>2731.5</v>
      </c>
      <c r="AF40">
        <v>-40</v>
      </c>
      <c r="AG40" t="e">
        <f ca="1" t="shared" si="16"/>
        <v>#NUM!</v>
      </c>
      <c r="AI40" s="29" t="e">
        <f ca="1" t="shared" si="14"/>
        <v>#NUM!</v>
      </c>
    </row>
    <row r="42" spans="1:33">
      <c r="A42">
        <f>MATCH(I6,C5:C40,3)</f>
        <v>31</v>
      </c>
      <c r="T42" s="24" t="s">
        <v>104</v>
      </c>
      <c r="U42" s="24" t="s">
        <v>105</v>
      </c>
      <c r="V42" s="24" t="s">
        <v>107</v>
      </c>
      <c r="W42" s="24" t="s">
        <v>109</v>
      </c>
      <c r="X42" s="24" t="s">
        <v>111</v>
      </c>
      <c r="Y42" s="16"/>
      <c r="Z42" s="16"/>
      <c r="AA42" s="16"/>
      <c r="AB42" s="16"/>
      <c r="AD42" t="s">
        <v>106</v>
      </c>
      <c r="AE42" t="s">
        <v>108</v>
      </c>
      <c r="AF42" t="s">
        <v>110</v>
      </c>
      <c r="AG42" t="s">
        <v>132</v>
      </c>
    </row>
    <row r="43" spans="20:33">
      <c r="T43" s="24">
        <f ca="1" t="array" ref="T43:X43">LINEST(INDIRECT(L5):INDIRECT(L6),INDIRECT(K5):INDIRECT(K6)^{1,2,3,4},TRUE,TRUE)</f>
        <v>-16010.9251617197</v>
      </c>
      <c r="U43" s="24">
        <v>27432.2934168194</v>
      </c>
      <c r="V43" s="24">
        <v>-23369.8557609451</v>
      </c>
      <c r="W43" s="24">
        <v>29022.3373681295</v>
      </c>
      <c r="X43" s="24">
        <v>657.730662855222</v>
      </c>
      <c r="Y43" s="16"/>
      <c r="Z43" s="16"/>
      <c r="AA43" s="16"/>
      <c r="AB43" s="16"/>
      <c r="AD43" s="24">
        <f ca="1" t="array" ref="AD43:AG43">LINEST(INDIRECT(AB5):INDIRECT(AB6),INDIRECT(AA5):INDIRECT(AA6)^{1,2,3},TRUE,TRUE)</f>
        <v>41.8802564803545</v>
      </c>
      <c r="AE43" s="24">
        <v>-78.2120487694469</v>
      </c>
      <c r="AF43" s="24">
        <v>-3014.40130738377</v>
      </c>
      <c r="AG43" s="24">
        <v>4955.23222644524</v>
      </c>
    </row>
  </sheetData>
  <pageMargins left="0.75" right="0.75" top="1" bottom="1" header="0.5" footer="0.5"/>
  <pageSetup paperSize="1" orientation="portrait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F0"/>
  </sheetPr>
  <dimension ref="B2:R41"/>
  <sheetViews>
    <sheetView tabSelected="1" zoomScale="85" zoomScaleNormal="85" workbookViewId="0">
      <selection activeCell="M30" sqref="M30"/>
    </sheetView>
  </sheetViews>
  <sheetFormatPr defaultColWidth="9" defaultRowHeight="13.2"/>
  <sheetData>
    <row r="2" spans="2:18">
      <c r="B2" s="16" t="s">
        <v>5</v>
      </c>
      <c r="C2" s="16" t="s">
        <v>6</v>
      </c>
      <c r="F2" s="16" t="s">
        <v>5</v>
      </c>
      <c r="G2" s="16" t="s">
        <v>6</v>
      </c>
      <c r="O2" s="16"/>
      <c r="P2" s="16" t="s">
        <v>5</v>
      </c>
      <c r="Q2" s="16" t="s">
        <v>6</v>
      </c>
      <c r="R2" s="16"/>
    </row>
    <row r="3" spans="3:17">
      <c r="C3" t="s">
        <v>133</v>
      </c>
      <c r="G3" t="s">
        <v>134</v>
      </c>
      <c r="L3" t="s">
        <v>135</v>
      </c>
      <c r="Q3" s="15" t="s">
        <v>136</v>
      </c>
    </row>
    <row r="4" spans="2:17">
      <c r="B4" s="24">
        <v>-40</v>
      </c>
      <c r="C4" s="26">
        <v>188500</v>
      </c>
      <c r="F4" s="24">
        <v>-40</v>
      </c>
      <c r="G4" s="26"/>
      <c r="K4" s="24">
        <v>-40</v>
      </c>
      <c r="L4" s="26">
        <v>391251</v>
      </c>
      <c r="P4" s="24">
        <v>-40</v>
      </c>
      <c r="Q4" s="28">
        <v>336500</v>
      </c>
    </row>
    <row r="5" spans="2:17">
      <c r="B5" s="24">
        <v>-35</v>
      </c>
      <c r="C5" s="26">
        <v>144100</v>
      </c>
      <c r="F5" s="24">
        <v>-35</v>
      </c>
      <c r="G5" s="26"/>
      <c r="K5" s="24">
        <v>-35</v>
      </c>
      <c r="L5" s="26">
        <v>289245</v>
      </c>
      <c r="P5" s="24">
        <v>-35</v>
      </c>
      <c r="Q5" s="28">
        <v>242600</v>
      </c>
    </row>
    <row r="6" spans="2:17">
      <c r="B6" s="24">
        <v>-30</v>
      </c>
      <c r="C6" s="26">
        <v>111300</v>
      </c>
      <c r="F6" s="24">
        <v>-30</v>
      </c>
      <c r="G6" s="26"/>
      <c r="K6" s="24">
        <v>-30</v>
      </c>
      <c r="L6" s="26">
        <v>21560</v>
      </c>
      <c r="P6" s="24">
        <v>-30</v>
      </c>
      <c r="Q6" s="28">
        <v>177000</v>
      </c>
    </row>
    <row r="7" spans="2:17">
      <c r="B7" s="24">
        <v>-25</v>
      </c>
      <c r="C7" s="26">
        <v>86430</v>
      </c>
      <c r="F7" s="24">
        <v>-25</v>
      </c>
      <c r="G7" s="26"/>
      <c r="K7" s="24">
        <v>-25</v>
      </c>
      <c r="L7" s="26">
        <v>162779</v>
      </c>
      <c r="P7" s="24">
        <v>-25</v>
      </c>
      <c r="Q7" s="28">
        <v>130400</v>
      </c>
    </row>
    <row r="8" spans="2:17">
      <c r="B8" s="24">
        <v>-20</v>
      </c>
      <c r="C8" s="26">
        <v>67770</v>
      </c>
      <c r="F8" s="24">
        <v>-20</v>
      </c>
      <c r="G8" s="26">
        <v>74890</v>
      </c>
      <c r="K8" s="24">
        <v>-20</v>
      </c>
      <c r="L8" s="26">
        <v>123815</v>
      </c>
      <c r="P8" s="24">
        <v>-20</v>
      </c>
      <c r="Q8" s="28">
        <v>97070</v>
      </c>
    </row>
    <row r="9" spans="2:17">
      <c r="B9" s="24">
        <v>-15</v>
      </c>
      <c r="C9" s="26">
        <v>53410</v>
      </c>
      <c r="F9" s="24">
        <v>-15</v>
      </c>
      <c r="G9" s="26">
        <v>57980</v>
      </c>
      <c r="K9" s="24">
        <v>-15</v>
      </c>
      <c r="L9" s="26">
        <v>95001</v>
      </c>
      <c r="P9" s="24">
        <v>-15</v>
      </c>
      <c r="Q9" s="28">
        <v>72930</v>
      </c>
    </row>
    <row r="10" spans="2:17">
      <c r="B10" s="24">
        <v>-10</v>
      </c>
      <c r="C10" s="26">
        <v>42470</v>
      </c>
      <c r="F10" s="24">
        <v>-10</v>
      </c>
      <c r="G10" s="26">
        <v>45310</v>
      </c>
      <c r="K10" s="24">
        <v>-10</v>
      </c>
      <c r="L10" s="26">
        <v>73505</v>
      </c>
      <c r="P10" s="24">
        <v>-10</v>
      </c>
      <c r="Q10" s="28">
        <v>55330</v>
      </c>
    </row>
    <row r="11" spans="2:17">
      <c r="B11" s="24">
        <v>-5</v>
      </c>
      <c r="C11" s="26">
        <v>33900</v>
      </c>
      <c r="F11" s="24">
        <v>-5</v>
      </c>
      <c r="G11" s="26">
        <v>35720</v>
      </c>
      <c r="K11" s="24">
        <v>-5</v>
      </c>
      <c r="L11" s="26">
        <v>57329</v>
      </c>
      <c r="P11" s="24">
        <v>-5</v>
      </c>
      <c r="Q11" s="28">
        <v>42320</v>
      </c>
    </row>
    <row r="12" spans="2:17">
      <c r="B12" s="24">
        <v>0</v>
      </c>
      <c r="C12" s="26">
        <v>27280</v>
      </c>
      <c r="F12" s="24">
        <v>0</v>
      </c>
      <c r="G12" s="26">
        <v>28380</v>
      </c>
      <c r="K12" s="24">
        <v>0</v>
      </c>
      <c r="L12" s="26">
        <v>45058</v>
      </c>
      <c r="P12" s="24">
        <v>0</v>
      </c>
      <c r="Q12" s="28">
        <v>32650</v>
      </c>
    </row>
    <row r="13" spans="2:17">
      <c r="B13" s="24">
        <v>5</v>
      </c>
      <c r="C13" s="26">
        <v>22050</v>
      </c>
      <c r="F13" s="24">
        <v>5</v>
      </c>
      <c r="G13" s="26">
        <v>22720</v>
      </c>
      <c r="K13" s="24">
        <v>5</v>
      </c>
      <c r="L13" s="26">
        <v>35674</v>
      </c>
      <c r="P13" s="24">
        <v>5</v>
      </c>
      <c r="Q13" s="28">
        <v>25390</v>
      </c>
    </row>
    <row r="14" spans="2:17">
      <c r="B14" s="24">
        <v>10</v>
      </c>
      <c r="C14" s="26">
        <v>17960</v>
      </c>
      <c r="F14" s="24">
        <v>10</v>
      </c>
      <c r="G14" s="26">
        <v>18320</v>
      </c>
      <c r="K14" s="24">
        <v>10</v>
      </c>
      <c r="L14" s="26">
        <v>28445</v>
      </c>
      <c r="P14" s="24">
        <v>10</v>
      </c>
      <c r="Q14" s="28">
        <v>19900</v>
      </c>
    </row>
    <row r="15" spans="2:17">
      <c r="B15" s="24">
        <v>15</v>
      </c>
      <c r="C15" s="26">
        <v>14690</v>
      </c>
      <c r="F15" s="24">
        <v>15</v>
      </c>
      <c r="G15" s="26">
        <v>14880</v>
      </c>
      <c r="K15" s="24">
        <v>15</v>
      </c>
      <c r="L15" s="26">
        <v>28445</v>
      </c>
      <c r="P15" s="24">
        <v>15</v>
      </c>
      <c r="Q15" s="28">
        <v>15710</v>
      </c>
    </row>
    <row r="16" spans="2:17">
      <c r="B16" s="24">
        <v>20</v>
      </c>
      <c r="C16" s="26">
        <v>12090</v>
      </c>
      <c r="F16" s="24">
        <v>20</v>
      </c>
      <c r="G16" s="26">
        <v>12160</v>
      </c>
      <c r="K16" s="24">
        <v>20</v>
      </c>
      <c r="L16" s="26">
        <v>18450</v>
      </c>
      <c r="P16" s="24">
        <v>20</v>
      </c>
      <c r="Q16" s="28">
        <v>12490</v>
      </c>
    </row>
    <row r="17" spans="2:17">
      <c r="B17" s="24">
        <v>25</v>
      </c>
      <c r="C17" s="26">
        <v>10000</v>
      </c>
      <c r="F17" s="24">
        <v>25</v>
      </c>
      <c r="G17" s="26">
        <v>10000</v>
      </c>
      <c r="K17" s="24">
        <v>25</v>
      </c>
      <c r="L17" s="26">
        <v>15000</v>
      </c>
      <c r="P17" s="24">
        <v>25</v>
      </c>
      <c r="Q17" s="28">
        <v>10000</v>
      </c>
    </row>
    <row r="18" spans="2:17">
      <c r="B18" s="24">
        <v>30</v>
      </c>
      <c r="C18" s="26">
        <v>8313</v>
      </c>
      <c r="F18" s="24">
        <v>30</v>
      </c>
      <c r="G18" s="26">
        <v>8272</v>
      </c>
      <c r="K18" s="24">
        <v>30</v>
      </c>
      <c r="L18" s="26">
        <v>12268</v>
      </c>
      <c r="P18" s="24">
        <v>30</v>
      </c>
      <c r="Q18" s="28">
        <v>8057</v>
      </c>
    </row>
    <row r="19" spans="2:17">
      <c r="B19" s="24">
        <v>35</v>
      </c>
      <c r="C19" s="26">
        <v>6940</v>
      </c>
      <c r="F19" s="24">
        <v>35</v>
      </c>
      <c r="G19" s="26">
        <v>6881</v>
      </c>
      <c r="K19" s="24">
        <v>35</v>
      </c>
      <c r="L19" s="26">
        <v>10092</v>
      </c>
      <c r="P19" s="24">
        <v>35</v>
      </c>
      <c r="Q19" s="28">
        <v>6531</v>
      </c>
    </row>
    <row r="20" spans="2:17">
      <c r="B20" s="24">
        <v>40</v>
      </c>
      <c r="C20" s="26">
        <v>5827</v>
      </c>
      <c r="F20" s="24">
        <v>40</v>
      </c>
      <c r="G20" s="26">
        <v>5754</v>
      </c>
      <c r="K20" s="24">
        <v>40</v>
      </c>
      <c r="L20" s="26">
        <v>8347.4</v>
      </c>
      <c r="P20" s="24">
        <v>40</v>
      </c>
      <c r="Q20" s="28">
        <v>5327</v>
      </c>
    </row>
    <row r="21" spans="2:17">
      <c r="B21" s="24">
        <v>45</v>
      </c>
      <c r="C21" s="26">
        <v>4911</v>
      </c>
      <c r="F21" s="24">
        <v>45</v>
      </c>
      <c r="G21" s="26">
        <v>4837</v>
      </c>
      <c r="K21" s="24">
        <v>45</v>
      </c>
      <c r="L21" s="26">
        <v>6941.1</v>
      </c>
      <c r="P21" s="24">
        <v>45</v>
      </c>
      <c r="Q21" s="28">
        <v>4369</v>
      </c>
    </row>
    <row r="22" spans="2:17">
      <c r="B22" s="24">
        <v>50</v>
      </c>
      <c r="C22" s="26">
        <v>4160</v>
      </c>
      <c r="F22" s="24">
        <v>50</v>
      </c>
      <c r="G22" s="26">
        <v>4085</v>
      </c>
      <c r="K22" s="24">
        <v>50</v>
      </c>
      <c r="L22" s="26">
        <v>5801.1</v>
      </c>
      <c r="P22" s="24">
        <v>50</v>
      </c>
      <c r="Q22" s="28">
        <v>3603</v>
      </c>
    </row>
    <row r="23" spans="2:17">
      <c r="B23" s="24">
        <v>55</v>
      </c>
      <c r="C23" s="26">
        <v>3536</v>
      </c>
      <c r="F23" s="24">
        <v>55</v>
      </c>
      <c r="G23" s="26">
        <v>3466</v>
      </c>
      <c r="K23" s="24">
        <v>55</v>
      </c>
      <c r="L23" s="26">
        <v>4872.1</v>
      </c>
      <c r="P23" s="24">
        <v>55</v>
      </c>
      <c r="Q23" s="28">
        <v>2986</v>
      </c>
    </row>
    <row r="24" spans="2:17">
      <c r="B24" s="24">
        <v>60</v>
      </c>
      <c r="C24" s="26">
        <v>3020</v>
      </c>
      <c r="F24" s="24">
        <v>60</v>
      </c>
      <c r="G24" s="26">
        <v>2955</v>
      </c>
      <c r="K24" s="24">
        <v>60</v>
      </c>
      <c r="L24" s="26">
        <v>4111.1</v>
      </c>
      <c r="P24" s="24">
        <v>60</v>
      </c>
      <c r="Q24" s="28">
        <v>2488</v>
      </c>
    </row>
    <row r="25" spans="2:17">
      <c r="B25" s="24">
        <v>65</v>
      </c>
      <c r="C25" s="26">
        <v>2588</v>
      </c>
      <c r="F25" s="24">
        <v>65</v>
      </c>
      <c r="G25" s="26">
        <v>2530</v>
      </c>
      <c r="K25" s="24">
        <v>65</v>
      </c>
      <c r="L25" s="26">
        <v>3484.7</v>
      </c>
      <c r="P25" s="24">
        <v>65</v>
      </c>
      <c r="Q25" s="28">
        <v>2083</v>
      </c>
    </row>
    <row r="26" spans="2:17">
      <c r="B26" s="24">
        <v>70</v>
      </c>
      <c r="C26" s="26">
        <v>2228</v>
      </c>
      <c r="F26" s="24">
        <v>70</v>
      </c>
      <c r="G26" s="26">
        <v>2174</v>
      </c>
      <c r="K26" s="24">
        <v>70</v>
      </c>
      <c r="L26" s="26">
        <v>2966.6</v>
      </c>
      <c r="P26" s="24">
        <v>70</v>
      </c>
      <c r="Q26" s="28">
        <v>1752</v>
      </c>
    </row>
    <row r="27" spans="2:17">
      <c r="B27" s="24">
        <v>75</v>
      </c>
      <c r="C27" s="26">
        <v>1924</v>
      </c>
      <c r="F27" s="24">
        <v>75</v>
      </c>
      <c r="G27" s="26">
        <v>1876</v>
      </c>
      <c r="K27" s="24">
        <v>75</v>
      </c>
      <c r="L27" s="26">
        <v>2536.2</v>
      </c>
      <c r="P27" s="24">
        <v>75</v>
      </c>
      <c r="Q27" s="28">
        <v>1481</v>
      </c>
    </row>
    <row r="28" spans="2:17">
      <c r="B28" s="24">
        <v>80</v>
      </c>
      <c r="C28" s="26">
        <v>1668</v>
      </c>
      <c r="F28" s="24">
        <v>80</v>
      </c>
      <c r="G28" s="26">
        <v>1624</v>
      </c>
      <c r="K28" s="24">
        <v>80</v>
      </c>
      <c r="L28" s="26">
        <v>2176.9</v>
      </c>
      <c r="P28" s="24">
        <v>80</v>
      </c>
      <c r="Q28" s="28">
        <v>1258</v>
      </c>
    </row>
    <row r="29" spans="2:17">
      <c r="B29" s="24">
        <v>85</v>
      </c>
      <c r="C29" s="26">
        <v>1451</v>
      </c>
      <c r="F29" s="24">
        <v>85</v>
      </c>
      <c r="G29" s="26"/>
      <c r="K29" s="24">
        <v>85</v>
      </c>
      <c r="L29" s="26">
        <v>1875.8</v>
      </c>
      <c r="P29" s="24">
        <v>85</v>
      </c>
      <c r="Q29" s="28">
        <v>1072</v>
      </c>
    </row>
    <row r="30" spans="2:17">
      <c r="B30" s="24">
        <v>90</v>
      </c>
      <c r="C30" s="26">
        <v>1266</v>
      </c>
      <c r="F30" s="24">
        <v>90</v>
      </c>
      <c r="G30" s="26"/>
      <c r="K30" s="24">
        <v>90</v>
      </c>
      <c r="L30" s="26">
        <v>1622.5</v>
      </c>
      <c r="P30" s="24">
        <v>90</v>
      </c>
      <c r="Q30" s="28">
        <v>917.7</v>
      </c>
    </row>
    <row r="31" spans="2:17">
      <c r="B31" s="24">
        <v>95</v>
      </c>
      <c r="C31" s="26">
        <v>1108</v>
      </c>
      <c r="F31" s="24">
        <v>95</v>
      </c>
      <c r="G31" s="26"/>
      <c r="K31" s="24">
        <v>95</v>
      </c>
      <c r="L31" s="26">
        <v>1408.4</v>
      </c>
      <c r="P31" s="24">
        <v>95</v>
      </c>
      <c r="Q31" s="28">
        <v>788.5</v>
      </c>
    </row>
    <row r="32" spans="2:17">
      <c r="B32" s="24">
        <v>100</v>
      </c>
      <c r="C32" s="26">
        <v>973.1</v>
      </c>
      <c r="F32" s="24">
        <v>100</v>
      </c>
      <c r="G32" s="26"/>
      <c r="K32" s="24">
        <v>100</v>
      </c>
      <c r="L32" s="26">
        <v>1226.8</v>
      </c>
      <c r="P32" s="24">
        <v>100</v>
      </c>
      <c r="Q32" s="28">
        <v>680</v>
      </c>
    </row>
    <row r="33" spans="2:17">
      <c r="B33" s="24">
        <v>105</v>
      </c>
      <c r="C33" s="26">
        <v>857.2</v>
      </c>
      <c r="F33" s="24">
        <v>105</v>
      </c>
      <c r="G33" s="26"/>
      <c r="K33" s="24">
        <v>105</v>
      </c>
      <c r="L33" s="26">
        <v>1072.3</v>
      </c>
      <c r="P33" s="24">
        <v>105</v>
      </c>
      <c r="Q33" s="28">
        <v>588.6</v>
      </c>
    </row>
    <row r="34" spans="2:17">
      <c r="B34" s="24">
        <v>110</v>
      </c>
      <c r="C34" s="26">
        <v>757.6</v>
      </c>
      <c r="F34" s="24">
        <v>110</v>
      </c>
      <c r="G34" s="26"/>
      <c r="K34" s="24">
        <v>110</v>
      </c>
      <c r="L34" s="26">
        <v>940.2</v>
      </c>
      <c r="P34" s="24">
        <v>110</v>
      </c>
      <c r="Q34" s="28">
        <v>511.2</v>
      </c>
    </row>
    <row r="35" spans="11:17">
      <c r="K35" s="27">
        <v>115</v>
      </c>
      <c r="L35" s="26">
        <v>827</v>
      </c>
      <c r="P35" s="27">
        <v>115</v>
      </c>
      <c r="Q35" s="28">
        <v>445.4</v>
      </c>
    </row>
    <row r="36" spans="11:17">
      <c r="K36" s="27">
        <v>120</v>
      </c>
      <c r="L36" s="26">
        <v>729.62</v>
      </c>
      <c r="P36" s="27">
        <v>120</v>
      </c>
      <c r="Q36" s="28">
        <v>389.3</v>
      </c>
    </row>
    <row r="37" spans="11:17">
      <c r="K37" s="27">
        <v>125</v>
      </c>
      <c r="L37" s="26">
        <v>729.62</v>
      </c>
      <c r="P37" s="27">
        <v>125</v>
      </c>
      <c r="Q37" s="28">
        <v>341.7</v>
      </c>
    </row>
    <row r="38" spans="11:17">
      <c r="K38" s="27">
        <v>130</v>
      </c>
      <c r="L38" s="26">
        <v>572.86</v>
      </c>
      <c r="P38" s="27">
        <v>130</v>
      </c>
      <c r="Q38" s="28">
        <v>300.9</v>
      </c>
    </row>
    <row r="39" spans="11:17">
      <c r="K39" s="27">
        <v>135</v>
      </c>
      <c r="L39" s="26">
        <v>509.71</v>
      </c>
      <c r="P39" s="27">
        <v>135</v>
      </c>
      <c r="Q39" s="28">
        <v>265.4</v>
      </c>
    </row>
    <row r="40" spans="16:18">
      <c r="P40" s="16"/>
      <c r="Q40" s="16"/>
      <c r="R40" s="16"/>
    </row>
    <row r="41" spans="16:17">
      <c r="P41" s="16"/>
      <c r="Q41" s="16"/>
    </row>
  </sheetData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C2:J292"/>
  <sheetViews>
    <sheetView zoomScale="85" zoomScaleNormal="85" workbookViewId="0">
      <selection activeCell="J6" sqref="J6"/>
    </sheetView>
  </sheetViews>
  <sheetFormatPr defaultColWidth="9" defaultRowHeight="13.2"/>
  <cols>
    <col min="7" max="7" width="18.287037037037" customWidth="1"/>
  </cols>
  <sheetData>
    <row r="2" spans="3:10">
      <c r="C2" s="24" t="s">
        <v>137</v>
      </c>
      <c r="D2" s="24"/>
      <c r="G2" s="24" t="s">
        <v>138</v>
      </c>
      <c r="J2" s="24" t="s">
        <v>139</v>
      </c>
    </row>
    <row r="3" spans="3:10">
      <c r="C3" s="24">
        <v>0</v>
      </c>
      <c r="D3" s="24">
        <f>ROUND((10^(C3/96)),2)</f>
        <v>1</v>
      </c>
      <c r="F3" t="s">
        <v>140</v>
      </c>
      <c r="G3" s="24">
        <f>D3*1000</f>
        <v>1000</v>
      </c>
      <c r="J3" s="25">
        <v>0.1</v>
      </c>
    </row>
    <row r="4" spans="3:10">
      <c r="C4" s="24">
        <v>1</v>
      </c>
      <c r="D4" s="24">
        <f t="shared" ref="D4:D67" si="0">ROUND((10^(C4/96)),2)</f>
        <v>1.02</v>
      </c>
      <c r="G4" s="24">
        <f t="shared" ref="G4:G67" si="1">D4*1000</f>
        <v>1020</v>
      </c>
      <c r="J4" s="25">
        <v>0.05</v>
      </c>
    </row>
    <row r="5" spans="3:10">
      <c r="C5" s="24">
        <v>2</v>
      </c>
      <c r="D5" s="24">
        <f t="shared" si="0"/>
        <v>1.05</v>
      </c>
      <c r="G5" s="24">
        <f t="shared" si="1"/>
        <v>1050</v>
      </c>
      <c r="J5" s="25">
        <v>0.02</v>
      </c>
    </row>
    <row r="6" spans="3:10">
      <c r="C6" s="24">
        <v>3</v>
      </c>
      <c r="D6" s="24">
        <f t="shared" si="0"/>
        <v>1.07</v>
      </c>
      <c r="G6" s="24">
        <f t="shared" si="1"/>
        <v>1070</v>
      </c>
      <c r="J6" s="25">
        <v>0.01</v>
      </c>
    </row>
    <row r="7" spans="3:10">
      <c r="C7" s="24">
        <v>4</v>
      </c>
      <c r="D7" s="24">
        <f t="shared" si="0"/>
        <v>1.1</v>
      </c>
      <c r="G7" s="24">
        <f t="shared" si="1"/>
        <v>1100</v>
      </c>
      <c r="J7" s="25">
        <v>0.005</v>
      </c>
    </row>
    <row r="8" spans="3:10">
      <c r="C8" s="24">
        <v>5</v>
      </c>
      <c r="D8" s="24">
        <f t="shared" si="0"/>
        <v>1.13</v>
      </c>
      <c r="G8" s="24">
        <f t="shared" si="1"/>
        <v>1130</v>
      </c>
      <c r="J8" s="25">
        <v>0.002</v>
      </c>
    </row>
    <row r="9" spans="3:10">
      <c r="C9" s="24">
        <v>6</v>
      </c>
      <c r="D9" s="24">
        <f t="shared" si="0"/>
        <v>1.15</v>
      </c>
      <c r="G9" s="24">
        <f t="shared" si="1"/>
        <v>1150</v>
      </c>
      <c r="J9" s="25">
        <v>0.001</v>
      </c>
    </row>
    <row r="10" spans="3:10">
      <c r="C10" s="24">
        <v>7</v>
      </c>
      <c r="D10" s="24">
        <f t="shared" si="0"/>
        <v>1.18</v>
      </c>
      <c r="G10" s="24">
        <f t="shared" si="1"/>
        <v>1180</v>
      </c>
      <c r="J10" s="25">
        <v>0.0005</v>
      </c>
    </row>
    <row r="11" spans="3:10">
      <c r="C11" s="24">
        <v>8</v>
      </c>
      <c r="D11" s="24">
        <f t="shared" si="0"/>
        <v>1.21</v>
      </c>
      <c r="G11" s="24">
        <f t="shared" si="1"/>
        <v>1210</v>
      </c>
      <c r="J11" s="25">
        <v>0.0002</v>
      </c>
    </row>
    <row r="12" spans="3:10">
      <c r="C12" s="24">
        <v>9</v>
      </c>
      <c r="D12" s="24">
        <f t="shared" si="0"/>
        <v>1.24</v>
      </c>
      <c r="G12" s="24">
        <f t="shared" si="1"/>
        <v>1240</v>
      </c>
      <c r="J12" s="25">
        <v>0.0001</v>
      </c>
    </row>
    <row r="13" spans="3:7">
      <c r="C13" s="24">
        <v>10</v>
      </c>
      <c r="D13" s="24">
        <f t="shared" si="0"/>
        <v>1.27</v>
      </c>
      <c r="G13" s="24">
        <f t="shared" si="1"/>
        <v>1270</v>
      </c>
    </row>
    <row r="14" spans="3:7">
      <c r="C14" s="24">
        <v>11</v>
      </c>
      <c r="D14" s="24">
        <f t="shared" si="0"/>
        <v>1.3</v>
      </c>
      <c r="G14" s="24">
        <f t="shared" si="1"/>
        <v>1300</v>
      </c>
    </row>
    <row r="15" spans="3:7">
      <c r="C15" s="24">
        <v>12</v>
      </c>
      <c r="D15" s="24">
        <f t="shared" si="0"/>
        <v>1.33</v>
      </c>
      <c r="G15" s="24">
        <f t="shared" si="1"/>
        <v>1330</v>
      </c>
    </row>
    <row r="16" spans="3:7">
      <c r="C16" s="24">
        <v>13</v>
      </c>
      <c r="D16" s="24">
        <f t="shared" si="0"/>
        <v>1.37</v>
      </c>
      <c r="G16" s="24">
        <f t="shared" si="1"/>
        <v>1370</v>
      </c>
    </row>
    <row r="17" spans="3:7">
      <c r="C17" s="24">
        <v>14</v>
      </c>
      <c r="D17" s="24">
        <f t="shared" si="0"/>
        <v>1.4</v>
      </c>
      <c r="G17" s="24">
        <f t="shared" si="1"/>
        <v>1400</v>
      </c>
    </row>
    <row r="18" spans="3:7">
      <c r="C18" s="24">
        <v>15</v>
      </c>
      <c r="D18" s="24">
        <f t="shared" si="0"/>
        <v>1.43</v>
      </c>
      <c r="G18" s="24">
        <f t="shared" si="1"/>
        <v>1430</v>
      </c>
    </row>
    <row r="19" spans="3:7">
      <c r="C19" s="24">
        <v>16</v>
      </c>
      <c r="D19" s="24">
        <f t="shared" si="0"/>
        <v>1.47</v>
      </c>
      <c r="G19" s="24">
        <f t="shared" si="1"/>
        <v>1470</v>
      </c>
    </row>
    <row r="20" spans="3:7">
      <c r="C20" s="24">
        <v>17</v>
      </c>
      <c r="D20" s="24">
        <f t="shared" si="0"/>
        <v>1.5</v>
      </c>
      <c r="G20" s="24">
        <f t="shared" si="1"/>
        <v>1500</v>
      </c>
    </row>
    <row r="21" spans="3:7">
      <c r="C21" s="24">
        <v>18</v>
      </c>
      <c r="D21" s="24">
        <f t="shared" si="0"/>
        <v>1.54</v>
      </c>
      <c r="G21" s="24">
        <f t="shared" si="1"/>
        <v>1540</v>
      </c>
    </row>
    <row r="22" spans="3:7">
      <c r="C22" s="24">
        <v>19</v>
      </c>
      <c r="D22" s="24">
        <f t="shared" si="0"/>
        <v>1.58</v>
      </c>
      <c r="G22" s="24">
        <f t="shared" si="1"/>
        <v>1580</v>
      </c>
    </row>
    <row r="23" spans="3:7">
      <c r="C23" s="24">
        <v>20</v>
      </c>
      <c r="D23" s="24">
        <f t="shared" si="0"/>
        <v>1.62</v>
      </c>
      <c r="G23" s="24">
        <f t="shared" si="1"/>
        <v>1620</v>
      </c>
    </row>
    <row r="24" spans="3:7">
      <c r="C24" s="24">
        <v>21</v>
      </c>
      <c r="D24" s="24">
        <f t="shared" si="0"/>
        <v>1.65</v>
      </c>
      <c r="G24" s="24">
        <f t="shared" si="1"/>
        <v>1650</v>
      </c>
    </row>
    <row r="25" spans="3:7">
      <c r="C25" s="24">
        <v>22</v>
      </c>
      <c r="D25" s="24">
        <f t="shared" si="0"/>
        <v>1.69</v>
      </c>
      <c r="G25" s="24">
        <f t="shared" si="1"/>
        <v>1690</v>
      </c>
    </row>
    <row r="26" spans="3:7">
      <c r="C26" s="24">
        <v>23</v>
      </c>
      <c r="D26" s="24">
        <f t="shared" si="0"/>
        <v>1.74</v>
      </c>
      <c r="G26" s="24">
        <f t="shared" si="1"/>
        <v>1740</v>
      </c>
    </row>
    <row r="27" spans="3:7">
      <c r="C27" s="24">
        <v>24</v>
      </c>
      <c r="D27" s="24">
        <f t="shared" si="0"/>
        <v>1.78</v>
      </c>
      <c r="G27" s="24">
        <f t="shared" si="1"/>
        <v>1780</v>
      </c>
    </row>
    <row r="28" spans="3:7">
      <c r="C28" s="24">
        <v>25</v>
      </c>
      <c r="D28" s="24">
        <f t="shared" si="0"/>
        <v>1.82</v>
      </c>
      <c r="G28" s="24">
        <f t="shared" si="1"/>
        <v>1820</v>
      </c>
    </row>
    <row r="29" spans="3:7">
      <c r="C29" s="24">
        <v>26</v>
      </c>
      <c r="D29" s="24">
        <f t="shared" si="0"/>
        <v>1.87</v>
      </c>
      <c r="G29" s="24">
        <f t="shared" si="1"/>
        <v>1870</v>
      </c>
    </row>
    <row r="30" spans="3:7">
      <c r="C30" s="24">
        <v>27</v>
      </c>
      <c r="D30" s="24">
        <f t="shared" si="0"/>
        <v>1.91</v>
      </c>
      <c r="G30" s="24">
        <f t="shared" si="1"/>
        <v>1910</v>
      </c>
    </row>
    <row r="31" spans="3:7">
      <c r="C31" s="24">
        <v>28</v>
      </c>
      <c r="D31" s="24">
        <f t="shared" si="0"/>
        <v>1.96</v>
      </c>
      <c r="G31" s="24">
        <f t="shared" si="1"/>
        <v>1960</v>
      </c>
    </row>
    <row r="32" spans="3:7">
      <c r="C32" s="24">
        <v>29</v>
      </c>
      <c r="D32" s="24">
        <f t="shared" si="0"/>
        <v>2</v>
      </c>
      <c r="G32" s="24">
        <f t="shared" si="1"/>
        <v>2000</v>
      </c>
    </row>
    <row r="33" spans="3:7">
      <c r="C33" s="24">
        <v>30</v>
      </c>
      <c r="D33" s="24">
        <f t="shared" si="0"/>
        <v>2.05</v>
      </c>
      <c r="G33" s="24">
        <f t="shared" si="1"/>
        <v>2050</v>
      </c>
    </row>
    <row r="34" spans="3:7">
      <c r="C34" s="24">
        <v>31</v>
      </c>
      <c r="D34" s="24">
        <f t="shared" si="0"/>
        <v>2.1</v>
      </c>
      <c r="G34" s="24">
        <f t="shared" si="1"/>
        <v>2100</v>
      </c>
    </row>
    <row r="35" spans="3:7">
      <c r="C35" s="24">
        <v>32</v>
      </c>
      <c r="D35" s="24">
        <f t="shared" si="0"/>
        <v>2.15</v>
      </c>
      <c r="G35" s="24">
        <f t="shared" si="1"/>
        <v>2150</v>
      </c>
    </row>
    <row r="36" spans="3:7">
      <c r="C36" s="24">
        <v>33</v>
      </c>
      <c r="D36" s="24">
        <f t="shared" si="0"/>
        <v>2.21</v>
      </c>
      <c r="G36" s="24">
        <f t="shared" si="1"/>
        <v>2210</v>
      </c>
    </row>
    <row r="37" spans="3:7">
      <c r="C37" s="24">
        <v>34</v>
      </c>
      <c r="D37" s="24">
        <f t="shared" si="0"/>
        <v>2.26</v>
      </c>
      <c r="G37" s="24">
        <f t="shared" si="1"/>
        <v>2260</v>
      </c>
    </row>
    <row r="38" spans="3:7">
      <c r="C38" s="24">
        <v>35</v>
      </c>
      <c r="D38" s="24">
        <f t="shared" si="0"/>
        <v>2.32</v>
      </c>
      <c r="G38" s="24">
        <f t="shared" si="1"/>
        <v>2320</v>
      </c>
    </row>
    <row r="39" spans="3:7">
      <c r="C39" s="24">
        <v>36</v>
      </c>
      <c r="D39" s="24">
        <f t="shared" si="0"/>
        <v>2.37</v>
      </c>
      <c r="G39" s="24">
        <f t="shared" si="1"/>
        <v>2370</v>
      </c>
    </row>
    <row r="40" spans="3:7">
      <c r="C40" s="24">
        <v>37</v>
      </c>
      <c r="D40" s="24">
        <f t="shared" si="0"/>
        <v>2.43</v>
      </c>
      <c r="G40" s="24">
        <f t="shared" si="1"/>
        <v>2430</v>
      </c>
    </row>
    <row r="41" spans="3:7">
      <c r="C41" s="24">
        <v>38</v>
      </c>
      <c r="D41" s="24">
        <f t="shared" si="0"/>
        <v>2.49</v>
      </c>
      <c r="G41" s="24">
        <f t="shared" si="1"/>
        <v>2490</v>
      </c>
    </row>
    <row r="42" spans="3:7">
      <c r="C42" s="24">
        <v>39</v>
      </c>
      <c r="D42" s="24">
        <f t="shared" si="0"/>
        <v>2.55</v>
      </c>
      <c r="G42" s="24">
        <f t="shared" si="1"/>
        <v>2550</v>
      </c>
    </row>
    <row r="43" spans="3:7">
      <c r="C43" s="24">
        <v>40</v>
      </c>
      <c r="D43" s="24">
        <f t="shared" si="0"/>
        <v>2.61</v>
      </c>
      <c r="G43" s="24">
        <f t="shared" si="1"/>
        <v>2610</v>
      </c>
    </row>
    <row r="44" spans="3:7">
      <c r="C44" s="24">
        <v>41</v>
      </c>
      <c r="D44" s="24">
        <f t="shared" si="0"/>
        <v>2.67</v>
      </c>
      <c r="G44" s="24">
        <f t="shared" si="1"/>
        <v>2670</v>
      </c>
    </row>
    <row r="45" spans="3:7">
      <c r="C45" s="24">
        <v>42</v>
      </c>
      <c r="D45" s="24">
        <f t="shared" si="0"/>
        <v>2.74</v>
      </c>
      <c r="G45" s="24">
        <f t="shared" si="1"/>
        <v>2740</v>
      </c>
    </row>
    <row r="46" spans="3:7">
      <c r="C46" s="24">
        <v>43</v>
      </c>
      <c r="D46" s="24">
        <f t="shared" si="0"/>
        <v>2.8</v>
      </c>
      <c r="G46" s="24">
        <f t="shared" si="1"/>
        <v>2800</v>
      </c>
    </row>
    <row r="47" spans="3:7">
      <c r="C47" s="24">
        <v>44</v>
      </c>
      <c r="D47" s="24">
        <f t="shared" si="0"/>
        <v>2.87</v>
      </c>
      <c r="G47" s="24">
        <f t="shared" si="1"/>
        <v>2870</v>
      </c>
    </row>
    <row r="48" spans="3:7">
      <c r="C48" s="24">
        <v>45</v>
      </c>
      <c r="D48" s="24">
        <f t="shared" si="0"/>
        <v>2.94</v>
      </c>
      <c r="G48" s="24">
        <f t="shared" si="1"/>
        <v>2940</v>
      </c>
    </row>
    <row r="49" spans="3:7">
      <c r="C49" s="24">
        <v>46</v>
      </c>
      <c r="D49" s="24">
        <f t="shared" si="0"/>
        <v>3.01</v>
      </c>
      <c r="G49" s="24">
        <f t="shared" si="1"/>
        <v>3010</v>
      </c>
    </row>
    <row r="50" spans="3:7">
      <c r="C50" s="24">
        <v>47</v>
      </c>
      <c r="D50" s="24">
        <f t="shared" si="0"/>
        <v>3.09</v>
      </c>
      <c r="G50" s="24">
        <f t="shared" si="1"/>
        <v>3090</v>
      </c>
    </row>
    <row r="51" spans="3:7">
      <c r="C51" s="24">
        <v>48</v>
      </c>
      <c r="D51" s="24">
        <f t="shared" si="0"/>
        <v>3.16</v>
      </c>
      <c r="G51" s="24">
        <f t="shared" si="1"/>
        <v>3160</v>
      </c>
    </row>
    <row r="52" spans="3:7">
      <c r="C52" s="24">
        <v>49</v>
      </c>
      <c r="D52" s="24">
        <f t="shared" si="0"/>
        <v>3.24</v>
      </c>
      <c r="G52" s="24">
        <f t="shared" si="1"/>
        <v>3240</v>
      </c>
    </row>
    <row r="53" spans="3:7">
      <c r="C53" s="24">
        <v>50</v>
      </c>
      <c r="D53" s="24">
        <f t="shared" si="0"/>
        <v>3.32</v>
      </c>
      <c r="G53" s="24">
        <f t="shared" si="1"/>
        <v>3320</v>
      </c>
    </row>
    <row r="54" spans="3:7">
      <c r="C54" s="24">
        <v>51</v>
      </c>
      <c r="D54" s="24">
        <f t="shared" si="0"/>
        <v>3.4</v>
      </c>
      <c r="G54" s="24">
        <f t="shared" si="1"/>
        <v>3400</v>
      </c>
    </row>
    <row r="55" spans="3:7">
      <c r="C55" s="24">
        <v>52</v>
      </c>
      <c r="D55" s="24">
        <f t="shared" si="0"/>
        <v>3.48</v>
      </c>
      <c r="G55" s="24">
        <f t="shared" si="1"/>
        <v>3480</v>
      </c>
    </row>
    <row r="56" spans="3:7">
      <c r="C56" s="24">
        <v>53</v>
      </c>
      <c r="D56" s="24">
        <f t="shared" si="0"/>
        <v>3.57</v>
      </c>
      <c r="G56" s="24">
        <f t="shared" si="1"/>
        <v>3570</v>
      </c>
    </row>
    <row r="57" spans="3:7">
      <c r="C57" s="24">
        <v>54</v>
      </c>
      <c r="D57" s="24">
        <f t="shared" si="0"/>
        <v>3.65</v>
      </c>
      <c r="G57" s="24">
        <f t="shared" si="1"/>
        <v>3650</v>
      </c>
    </row>
    <row r="58" spans="3:7">
      <c r="C58" s="24">
        <v>55</v>
      </c>
      <c r="D58" s="24">
        <f t="shared" si="0"/>
        <v>3.74</v>
      </c>
      <c r="G58" s="24">
        <f t="shared" si="1"/>
        <v>3740</v>
      </c>
    </row>
    <row r="59" spans="3:7">
      <c r="C59" s="24">
        <v>56</v>
      </c>
      <c r="D59" s="24">
        <f t="shared" si="0"/>
        <v>3.83</v>
      </c>
      <c r="G59" s="24">
        <f t="shared" si="1"/>
        <v>3830</v>
      </c>
    </row>
    <row r="60" spans="3:7">
      <c r="C60" s="24">
        <v>57</v>
      </c>
      <c r="D60" s="24">
        <f t="shared" si="0"/>
        <v>3.92</v>
      </c>
      <c r="G60" s="24">
        <f t="shared" si="1"/>
        <v>3920</v>
      </c>
    </row>
    <row r="61" spans="3:7">
      <c r="C61" s="24">
        <v>58</v>
      </c>
      <c r="D61" s="24">
        <f t="shared" si="0"/>
        <v>4.02</v>
      </c>
      <c r="G61" s="24">
        <f t="shared" si="1"/>
        <v>4020</v>
      </c>
    </row>
    <row r="62" spans="3:7">
      <c r="C62" s="24">
        <v>59</v>
      </c>
      <c r="D62" s="24">
        <f t="shared" si="0"/>
        <v>4.12</v>
      </c>
      <c r="G62" s="24">
        <f t="shared" si="1"/>
        <v>4120</v>
      </c>
    </row>
    <row r="63" spans="3:7">
      <c r="C63" s="24">
        <v>60</v>
      </c>
      <c r="D63" s="24">
        <f t="shared" si="0"/>
        <v>4.22</v>
      </c>
      <c r="G63" s="24">
        <f t="shared" si="1"/>
        <v>4220</v>
      </c>
    </row>
    <row r="64" spans="3:7">
      <c r="C64" s="24">
        <v>61</v>
      </c>
      <c r="D64" s="24">
        <f t="shared" si="0"/>
        <v>4.32</v>
      </c>
      <c r="G64" s="24">
        <f t="shared" si="1"/>
        <v>4320</v>
      </c>
    </row>
    <row r="65" spans="3:7">
      <c r="C65" s="24">
        <v>62</v>
      </c>
      <c r="D65" s="24">
        <f t="shared" si="0"/>
        <v>4.42</v>
      </c>
      <c r="G65" s="24">
        <f t="shared" si="1"/>
        <v>4420</v>
      </c>
    </row>
    <row r="66" spans="3:7">
      <c r="C66" s="24">
        <v>63</v>
      </c>
      <c r="D66" s="24">
        <f t="shared" si="0"/>
        <v>4.53</v>
      </c>
      <c r="G66" s="24">
        <f t="shared" si="1"/>
        <v>4530</v>
      </c>
    </row>
    <row r="67" spans="3:7">
      <c r="C67" s="24">
        <v>64</v>
      </c>
      <c r="D67" s="24">
        <f t="shared" si="0"/>
        <v>4.64</v>
      </c>
      <c r="G67" s="24">
        <f t="shared" si="1"/>
        <v>4640</v>
      </c>
    </row>
    <row r="68" spans="3:7">
      <c r="C68" s="24">
        <v>65</v>
      </c>
      <c r="D68" s="24">
        <f t="shared" ref="D68:D98" si="2">ROUND((10^(C68/96)),2)</f>
        <v>4.75</v>
      </c>
      <c r="G68" s="24">
        <f t="shared" ref="G68:G98" si="3">D68*1000</f>
        <v>4750</v>
      </c>
    </row>
    <row r="69" spans="3:7">
      <c r="C69" s="24">
        <v>66</v>
      </c>
      <c r="D69" s="24">
        <f t="shared" si="2"/>
        <v>4.87</v>
      </c>
      <c r="G69" s="24">
        <f t="shared" si="3"/>
        <v>4870</v>
      </c>
    </row>
    <row r="70" spans="3:7">
      <c r="C70" s="24">
        <v>67</v>
      </c>
      <c r="D70" s="24">
        <f t="shared" si="2"/>
        <v>4.99</v>
      </c>
      <c r="G70" s="24">
        <f t="shared" si="3"/>
        <v>4990</v>
      </c>
    </row>
    <row r="71" spans="3:7">
      <c r="C71" s="24">
        <v>68</v>
      </c>
      <c r="D71" s="24">
        <f t="shared" si="2"/>
        <v>5.11</v>
      </c>
      <c r="G71" s="24">
        <f t="shared" si="3"/>
        <v>5110</v>
      </c>
    </row>
    <row r="72" spans="3:7">
      <c r="C72" s="24">
        <v>69</v>
      </c>
      <c r="D72" s="24">
        <f t="shared" si="2"/>
        <v>5.23</v>
      </c>
      <c r="G72" s="24">
        <f t="shared" si="3"/>
        <v>5230</v>
      </c>
    </row>
    <row r="73" spans="3:7">
      <c r="C73" s="24">
        <v>70</v>
      </c>
      <c r="D73" s="24">
        <f t="shared" si="2"/>
        <v>5.36</v>
      </c>
      <c r="G73" s="24">
        <f t="shared" si="3"/>
        <v>5360</v>
      </c>
    </row>
    <row r="74" spans="3:7">
      <c r="C74" s="24">
        <v>71</v>
      </c>
      <c r="D74" s="24">
        <f t="shared" si="2"/>
        <v>5.49</v>
      </c>
      <c r="G74" s="24">
        <f t="shared" si="3"/>
        <v>5490</v>
      </c>
    </row>
    <row r="75" spans="3:7">
      <c r="C75" s="24">
        <v>72</v>
      </c>
      <c r="D75" s="24">
        <f t="shared" si="2"/>
        <v>5.62</v>
      </c>
      <c r="G75" s="24">
        <f t="shared" si="3"/>
        <v>5620</v>
      </c>
    </row>
    <row r="76" spans="3:7">
      <c r="C76" s="24">
        <v>73</v>
      </c>
      <c r="D76" s="24">
        <f t="shared" si="2"/>
        <v>5.76</v>
      </c>
      <c r="G76" s="24">
        <f t="shared" si="3"/>
        <v>5760</v>
      </c>
    </row>
    <row r="77" spans="3:7">
      <c r="C77" s="24">
        <v>74</v>
      </c>
      <c r="D77" s="24">
        <f t="shared" si="2"/>
        <v>5.9</v>
      </c>
      <c r="G77" s="24">
        <f t="shared" si="3"/>
        <v>5900</v>
      </c>
    </row>
    <row r="78" spans="3:7">
      <c r="C78" s="24">
        <v>75</v>
      </c>
      <c r="D78" s="24">
        <f t="shared" si="2"/>
        <v>6.04</v>
      </c>
      <c r="G78" s="24">
        <f t="shared" si="3"/>
        <v>6040</v>
      </c>
    </row>
    <row r="79" spans="3:7">
      <c r="C79" s="24">
        <v>76</v>
      </c>
      <c r="D79" s="24">
        <f t="shared" si="2"/>
        <v>6.19</v>
      </c>
      <c r="G79" s="24">
        <f t="shared" si="3"/>
        <v>6190</v>
      </c>
    </row>
    <row r="80" spans="3:7">
      <c r="C80" s="24">
        <v>77</v>
      </c>
      <c r="D80" s="24">
        <f t="shared" si="2"/>
        <v>6.34</v>
      </c>
      <c r="G80" s="24">
        <f t="shared" si="3"/>
        <v>6340</v>
      </c>
    </row>
    <row r="81" spans="3:7">
      <c r="C81" s="24">
        <v>78</v>
      </c>
      <c r="D81" s="24">
        <f t="shared" si="2"/>
        <v>6.49</v>
      </c>
      <c r="G81" s="24">
        <f t="shared" si="3"/>
        <v>6490</v>
      </c>
    </row>
    <row r="82" spans="3:7">
      <c r="C82" s="24">
        <v>79</v>
      </c>
      <c r="D82" s="24">
        <f t="shared" si="2"/>
        <v>6.65</v>
      </c>
      <c r="G82" s="24">
        <f t="shared" si="3"/>
        <v>6650</v>
      </c>
    </row>
    <row r="83" spans="3:7">
      <c r="C83" s="24">
        <v>80</v>
      </c>
      <c r="D83" s="24">
        <f t="shared" si="2"/>
        <v>6.81</v>
      </c>
      <c r="G83" s="24">
        <f t="shared" si="3"/>
        <v>6810</v>
      </c>
    </row>
    <row r="84" spans="3:7">
      <c r="C84" s="24">
        <v>81</v>
      </c>
      <c r="D84" s="24">
        <f t="shared" si="2"/>
        <v>6.98</v>
      </c>
      <c r="G84" s="24">
        <f t="shared" si="3"/>
        <v>6980</v>
      </c>
    </row>
    <row r="85" spans="3:7">
      <c r="C85" s="24">
        <v>82</v>
      </c>
      <c r="D85" s="24">
        <f t="shared" si="2"/>
        <v>7.15</v>
      </c>
      <c r="G85" s="24">
        <f t="shared" si="3"/>
        <v>7150</v>
      </c>
    </row>
    <row r="86" spans="3:7">
      <c r="C86" s="24">
        <v>83</v>
      </c>
      <c r="D86" s="24">
        <f t="shared" si="2"/>
        <v>7.32</v>
      </c>
      <c r="G86" s="24">
        <f t="shared" si="3"/>
        <v>7320</v>
      </c>
    </row>
    <row r="87" spans="3:7">
      <c r="C87" s="24">
        <v>84</v>
      </c>
      <c r="D87" s="24">
        <f t="shared" si="2"/>
        <v>7.5</v>
      </c>
      <c r="G87" s="24">
        <f t="shared" si="3"/>
        <v>7500</v>
      </c>
    </row>
    <row r="88" spans="3:7">
      <c r="C88" s="24">
        <v>85</v>
      </c>
      <c r="D88" s="24">
        <f t="shared" si="2"/>
        <v>7.68</v>
      </c>
      <c r="G88" s="24">
        <f t="shared" si="3"/>
        <v>7680</v>
      </c>
    </row>
    <row r="89" spans="3:7">
      <c r="C89" s="24">
        <v>86</v>
      </c>
      <c r="D89" s="24">
        <f t="shared" si="2"/>
        <v>7.87</v>
      </c>
      <c r="G89" s="24">
        <f t="shared" si="3"/>
        <v>7870</v>
      </c>
    </row>
    <row r="90" spans="3:7">
      <c r="C90" s="24">
        <v>87</v>
      </c>
      <c r="D90" s="24">
        <f t="shared" si="2"/>
        <v>8.06</v>
      </c>
      <c r="G90" s="24">
        <f t="shared" si="3"/>
        <v>8060</v>
      </c>
    </row>
    <row r="91" spans="3:7">
      <c r="C91" s="24">
        <v>88</v>
      </c>
      <c r="D91" s="24">
        <f t="shared" si="2"/>
        <v>8.25</v>
      </c>
      <c r="G91" s="24">
        <f t="shared" si="3"/>
        <v>8250</v>
      </c>
    </row>
    <row r="92" spans="3:7">
      <c r="C92" s="24">
        <v>89</v>
      </c>
      <c r="D92" s="24">
        <f t="shared" si="2"/>
        <v>8.45</v>
      </c>
      <c r="G92" s="24">
        <f t="shared" si="3"/>
        <v>8450</v>
      </c>
    </row>
    <row r="93" spans="3:7">
      <c r="C93" s="24">
        <v>90</v>
      </c>
      <c r="D93" s="24">
        <f t="shared" si="2"/>
        <v>8.66</v>
      </c>
      <c r="G93" s="24">
        <f t="shared" si="3"/>
        <v>8660</v>
      </c>
    </row>
    <row r="94" spans="3:7">
      <c r="C94" s="24">
        <v>91</v>
      </c>
      <c r="D94" s="24">
        <f t="shared" si="2"/>
        <v>8.87</v>
      </c>
      <c r="G94" s="24">
        <f t="shared" si="3"/>
        <v>8870</v>
      </c>
    </row>
    <row r="95" spans="3:7">
      <c r="C95" s="24">
        <v>92</v>
      </c>
      <c r="D95" s="24">
        <f t="shared" si="2"/>
        <v>9.09</v>
      </c>
      <c r="G95" s="24">
        <f t="shared" si="3"/>
        <v>9090</v>
      </c>
    </row>
    <row r="96" spans="3:7">
      <c r="C96" s="24">
        <v>93</v>
      </c>
      <c r="D96" s="24">
        <f t="shared" si="2"/>
        <v>9.31</v>
      </c>
      <c r="G96" s="24">
        <f t="shared" si="3"/>
        <v>9310</v>
      </c>
    </row>
    <row r="97" spans="3:7">
      <c r="C97" s="24">
        <v>94</v>
      </c>
      <c r="D97" s="24">
        <f t="shared" si="2"/>
        <v>9.53</v>
      </c>
      <c r="G97" s="24">
        <f t="shared" si="3"/>
        <v>9530</v>
      </c>
    </row>
    <row r="98" spans="3:7">
      <c r="C98" s="24">
        <v>95</v>
      </c>
      <c r="D98" s="24">
        <f t="shared" si="2"/>
        <v>9.76</v>
      </c>
      <c r="G98" s="24">
        <f t="shared" si="3"/>
        <v>9760</v>
      </c>
    </row>
    <row r="99" spans="6:7">
      <c r="F99" t="s">
        <v>141</v>
      </c>
      <c r="G99" s="24">
        <f>10000*D3</f>
        <v>10000</v>
      </c>
    </row>
    <row r="100" spans="7:7">
      <c r="G100" s="24">
        <f t="shared" ref="G100:G163" si="4">10000*D4</f>
        <v>10200</v>
      </c>
    </row>
    <row r="101" spans="7:7">
      <c r="G101" s="24">
        <f t="shared" si="4"/>
        <v>10500</v>
      </c>
    </row>
    <row r="102" spans="7:7">
      <c r="G102" s="24">
        <f t="shared" si="4"/>
        <v>10700</v>
      </c>
    </row>
    <row r="103" spans="7:7">
      <c r="G103" s="24">
        <f t="shared" si="4"/>
        <v>11000</v>
      </c>
    </row>
    <row r="104" spans="7:7">
      <c r="G104" s="24">
        <f t="shared" si="4"/>
        <v>11300</v>
      </c>
    </row>
    <row r="105" spans="7:7">
      <c r="G105" s="24">
        <f t="shared" si="4"/>
        <v>11500</v>
      </c>
    </row>
    <row r="106" spans="7:7">
      <c r="G106" s="24">
        <f t="shared" si="4"/>
        <v>11800</v>
      </c>
    </row>
    <row r="107" spans="7:7">
      <c r="G107" s="24">
        <f t="shared" si="4"/>
        <v>12100</v>
      </c>
    </row>
    <row r="108" spans="7:7">
      <c r="G108" s="24">
        <f t="shared" si="4"/>
        <v>12400</v>
      </c>
    </row>
    <row r="109" spans="7:7">
      <c r="G109" s="24">
        <f t="shared" si="4"/>
        <v>12700</v>
      </c>
    </row>
    <row r="110" spans="7:7">
      <c r="G110" s="24">
        <f t="shared" si="4"/>
        <v>13000</v>
      </c>
    </row>
    <row r="111" spans="7:7">
      <c r="G111" s="24">
        <f t="shared" si="4"/>
        <v>13300</v>
      </c>
    </row>
    <row r="112" spans="7:7">
      <c r="G112" s="24">
        <f t="shared" si="4"/>
        <v>13700</v>
      </c>
    </row>
    <row r="113" spans="7:7">
      <c r="G113" s="24">
        <f t="shared" si="4"/>
        <v>14000</v>
      </c>
    </row>
    <row r="114" spans="7:7">
      <c r="G114" s="24">
        <f t="shared" si="4"/>
        <v>14300</v>
      </c>
    </row>
    <row r="115" spans="7:7">
      <c r="G115" s="24">
        <f t="shared" si="4"/>
        <v>14700</v>
      </c>
    </row>
    <row r="116" spans="7:7">
      <c r="G116" s="24">
        <f t="shared" si="4"/>
        <v>15000</v>
      </c>
    </row>
    <row r="117" spans="7:7">
      <c r="G117" s="24">
        <f t="shared" si="4"/>
        <v>15400</v>
      </c>
    </row>
    <row r="118" spans="7:7">
      <c r="G118" s="24">
        <f t="shared" si="4"/>
        <v>15800</v>
      </c>
    </row>
    <row r="119" spans="7:7">
      <c r="G119" s="24">
        <f t="shared" si="4"/>
        <v>16200</v>
      </c>
    </row>
    <row r="120" spans="7:7">
      <c r="G120" s="24">
        <f t="shared" si="4"/>
        <v>16500</v>
      </c>
    </row>
    <row r="121" spans="7:7">
      <c r="G121" s="24">
        <f t="shared" si="4"/>
        <v>16900</v>
      </c>
    </row>
    <row r="122" spans="7:7">
      <c r="G122" s="24">
        <f t="shared" si="4"/>
        <v>17400</v>
      </c>
    </row>
    <row r="123" spans="7:7">
      <c r="G123" s="24">
        <f t="shared" si="4"/>
        <v>17800</v>
      </c>
    </row>
    <row r="124" spans="7:7">
      <c r="G124" s="24">
        <f t="shared" si="4"/>
        <v>18200</v>
      </c>
    </row>
    <row r="125" spans="7:7">
      <c r="G125" s="24">
        <f t="shared" si="4"/>
        <v>18700</v>
      </c>
    </row>
    <row r="126" spans="7:7">
      <c r="G126" s="24">
        <f t="shared" si="4"/>
        <v>19100</v>
      </c>
    </row>
    <row r="127" spans="7:7">
      <c r="G127" s="24">
        <f t="shared" si="4"/>
        <v>19600</v>
      </c>
    </row>
    <row r="128" spans="7:7">
      <c r="G128" s="24">
        <f t="shared" si="4"/>
        <v>20000</v>
      </c>
    </row>
    <row r="129" spans="7:7">
      <c r="G129" s="24">
        <f t="shared" si="4"/>
        <v>20500</v>
      </c>
    </row>
    <row r="130" spans="7:7">
      <c r="G130" s="24">
        <f t="shared" si="4"/>
        <v>21000</v>
      </c>
    </row>
    <row r="131" spans="7:7">
      <c r="G131" s="24">
        <f t="shared" si="4"/>
        <v>21500</v>
      </c>
    </row>
    <row r="132" spans="7:7">
      <c r="G132" s="24">
        <f t="shared" si="4"/>
        <v>22100</v>
      </c>
    </row>
    <row r="133" spans="7:7">
      <c r="G133" s="24">
        <f t="shared" si="4"/>
        <v>22600</v>
      </c>
    </row>
    <row r="134" spans="7:7">
      <c r="G134" s="24">
        <f t="shared" si="4"/>
        <v>23200</v>
      </c>
    </row>
    <row r="135" spans="7:7">
      <c r="G135" s="24">
        <f t="shared" si="4"/>
        <v>23700</v>
      </c>
    </row>
    <row r="136" spans="7:7">
      <c r="G136" s="24">
        <f t="shared" si="4"/>
        <v>24300</v>
      </c>
    </row>
    <row r="137" spans="7:7">
      <c r="G137" s="24">
        <f t="shared" si="4"/>
        <v>24900</v>
      </c>
    </row>
    <row r="138" spans="7:7">
      <c r="G138" s="24">
        <f t="shared" si="4"/>
        <v>25500</v>
      </c>
    </row>
    <row r="139" spans="7:7">
      <c r="G139" s="24">
        <f t="shared" si="4"/>
        <v>26100</v>
      </c>
    </row>
    <row r="140" spans="7:7">
      <c r="G140" s="24">
        <f t="shared" si="4"/>
        <v>26700</v>
      </c>
    </row>
    <row r="141" spans="7:7">
      <c r="G141" s="24">
        <f t="shared" si="4"/>
        <v>27400</v>
      </c>
    </row>
    <row r="142" spans="7:7">
      <c r="G142" s="24">
        <f t="shared" si="4"/>
        <v>28000</v>
      </c>
    </row>
    <row r="143" spans="7:7">
      <c r="G143" s="24">
        <f t="shared" si="4"/>
        <v>28700</v>
      </c>
    </row>
    <row r="144" spans="7:7">
      <c r="G144" s="24">
        <f t="shared" si="4"/>
        <v>29400</v>
      </c>
    </row>
    <row r="145" spans="7:7">
      <c r="G145" s="24">
        <f t="shared" si="4"/>
        <v>30100</v>
      </c>
    </row>
    <row r="146" spans="7:7">
      <c r="G146" s="24">
        <f t="shared" si="4"/>
        <v>30900</v>
      </c>
    </row>
    <row r="147" spans="7:7">
      <c r="G147" s="24">
        <f t="shared" si="4"/>
        <v>31600</v>
      </c>
    </row>
    <row r="148" spans="7:7">
      <c r="G148" s="24">
        <f t="shared" si="4"/>
        <v>32400</v>
      </c>
    </row>
    <row r="149" spans="7:7">
      <c r="G149" s="24">
        <f t="shared" si="4"/>
        <v>33200</v>
      </c>
    </row>
    <row r="150" spans="7:7">
      <c r="G150" s="24">
        <f t="shared" si="4"/>
        <v>34000</v>
      </c>
    </row>
    <row r="151" spans="7:7">
      <c r="G151" s="24">
        <f t="shared" si="4"/>
        <v>34800</v>
      </c>
    </row>
    <row r="152" spans="7:7">
      <c r="G152" s="24">
        <f t="shared" si="4"/>
        <v>35700</v>
      </c>
    </row>
    <row r="153" spans="7:7">
      <c r="G153" s="24">
        <f t="shared" si="4"/>
        <v>36500</v>
      </c>
    </row>
    <row r="154" spans="7:7">
      <c r="G154" s="24">
        <f t="shared" si="4"/>
        <v>37400</v>
      </c>
    </row>
    <row r="155" spans="7:7">
      <c r="G155" s="24">
        <f t="shared" si="4"/>
        <v>38300</v>
      </c>
    </row>
    <row r="156" spans="7:7">
      <c r="G156" s="24">
        <f t="shared" si="4"/>
        <v>39200</v>
      </c>
    </row>
    <row r="157" spans="7:7">
      <c r="G157" s="24">
        <f t="shared" si="4"/>
        <v>40200</v>
      </c>
    </row>
    <row r="158" spans="7:7">
      <c r="G158" s="24">
        <f t="shared" si="4"/>
        <v>41200</v>
      </c>
    </row>
    <row r="159" spans="7:7">
      <c r="G159" s="24">
        <f t="shared" si="4"/>
        <v>42200</v>
      </c>
    </row>
    <row r="160" spans="7:7">
      <c r="G160" s="24">
        <f t="shared" si="4"/>
        <v>43200</v>
      </c>
    </row>
    <row r="161" spans="7:7">
      <c r="G161" s="24">
        <f t="shared" si="4"/>
        <v>44200</v>
      </c>
    </row>
    <row r="162" spans="7:7">
      <c r="G162" s="24">
        <f t="shared" si="4"/>
        <v>45300</v>
      </c>
    </row>
    <row r="163" spans="7:7">
      <c r="G163" s="24">
        <f t="shared" si="4"/>
        <v>46400</v>
      </c>
    </row>
    <row r="164" spans="7:7">
      <c r="G164" s="24">
        <f t="shared" ref="G164:G168" si="5">10000*D68</f>
        <v>47500</v>
      </c>
    </row>
    <row r="165" spans="7:7">
      <c r="G165" s="24">
        <f t="shared" si="5"/>
        <v>48700</v>
      </c>
    </row>
    <row r="166" spans="7:7">
      <c r="G166" s="24">
        <f t="shared" si="5"/>
        <v>49900</v>
      </c>
    </row>
    <row r="167" spans="7:7">
      <c r="G167" s="24">
        <f t="shared" si="5"/>
        <v>51100</v>
      </c>
    </row>
    <row r="168" spans="7:7">
      <c r="G168" s="24">
        <f t="shared" si="5"/>
        <v>52300</v>
      </c>
    </row>
    <row r="169" spans="7:7">
      <c r="G169" s="24">
        <f t="shared" ref="G169:G194" si="6">10000*D73</f>
        <v>53600</v>
      </c>
    </row>
    <row r="170" spans="7:7">
      <c r="G170" s="24">
        <f t="shared" si="6"/>
        <v>54900</v>
      </c>
    </row>
    <row r="171" spans="7:7">
      <c r="G171" s="24">
        <f t="shared" si="6"/>
        <v>56200</v>
      </c>
    </row>
    <row r="172" spans="7:7">
      <c r="G172" s="24">
        <f t="shared" si="6"/>
        <v>57600</v>
      </c>
    </row>
    <row r="173" spans="7:7">
      <c r="G173" s="24">
        <f t="shared" si="6"/>
        <v>59000</v>
      </c>
    </row>
    <row r="174" spans="7:7">
      <c r="G174" s="24">
        <f t="shared" si="6"/>
        <v>60400</v>
      </c>
    </row>
    <row r="175" spans="7:7">
      <c r="G175" s="24">
        <f t="shared" si="6"/>
        <v>61900</v>
      </c>
    </row>
    <row r="176" spans="7:7">
      <c r="G176" s="24">
        <f t="shared" si="6"/>
        <v>63400</v>
      </c>
    </row>
    <row r="177" spans="7:7">
      <c r="G177" s="24">
        <f t="shared" si="6"/>
        <v>64900</v>
      </c>
    </row>
    <row r="178" spans="7:7">
      <c r="G178" s="24">
        <f t="shared" si="6"/>
        <v>66500</v>
      </c>
    </row>
    <row r="179" spans="7:7">
      <c r="G179" s="24">
        <f t="shared" si="6"/>
        <v>68100</v>
      </c>
    </row>
    <row r="180" spans="7:7">
      <c r="G180" s="24">
        <f t="shared" si="6"/>
        <v>69800</v>
      </c>
    </row>
    <row r="181" spans="7:7">
      <c r="G181" s="24">
        <f t="shared" si="6"/>
        <v>71500</v>
      </c>
    </row>
    <row r="182" spans="7:7">
      <c r="G182" s="24">
        <f t="shared" si="6"/>
        <v>73200</v>
      </c>
    </row>
    <row r="183" spans="7:7">
      <c r="G183" s="24">
        <f t="shared" si="6"/>
        <v>75000</v>
      </c>
    </row>
    <row r="184" spans="7:7">
      <c r="G184" s="24">
        <f t="shared" si="6"/>
        <v>76800</v>
      </c>
    </row>
    <row r="185" spans="7:7">
      <c r="G185" s="24">
        <f t="shared" si="6"/>
        <v>78700</v>
      </c>
    </row>
    <row r="186" spans="7:7">
      <c r="G186" s="24">
        <f t="shared" si="6"/>
        <v>80600</v>
      </c>
    </row>
    <row r="187" spans="7:7">
      <c r="G187" s="24">
        <f t="shared" si="6"/>
        <v>82500</v>
      </c>
    </row>
    <row r="188" spans="7:7">
      <c r="G188" s="24">
        <f t="shared" si="6"/>
        <v>84500</v>
      </c>
    </row>
    <row r="189" spans="7:7">
      <c r="G189" s="24">
        <f t="shared" si="6"/>
        <v>86600</v>
      </c>
    </row>
    <row r="190" spans="7:7">
      <c r="G190" s="24">
        <f t="shared" si="6"/>
        <v>88700</v>
      </c>
    </row>
    <row r="191" spans="7:7">
      <c r="G191" s="24">
        <f t="shared" si="6"/>
        <v>90900</v>
      </c>
    </row>
    <row r="192" spans="7:7">
      <c r="G192" s="24">
        <f t="shared" si="6"/>
        <v>93100</v>
      </c>
    </row>
    <row r="193" spans="7:7">
      <c r="G193" s="24">
        <f t="shared" si="6"/>
        <v>95300</v>
      </c>
    </row>
    <row r="194" spans="7:7">
      <c r="G194" s="24">
        <f t="shared" si="6"/>
        <v>97600</v>
      </c>
    </row>
    <row r="195" spans="6:7">
      <c r="F195" t="s">
        <v>142</v>
      </c>
      <c r="G195" s="24">
        <f>100000*D3</f>
        <v>100000</v>
      </c>
    </row>
    <row r="196" spans="7:7">
      <c r="G196" s="24">
        <f t="shared" ref="G196:G259" si="7">100000*D4</f>
        <v>102000</v>
      </c>
    </row>
    <row r="197" spans="7:7">
      <c r="G197" s="24">
        <f t="shared" si="7"/>
        <v>105000</v>
      </c>
    </row>
    <row r="198" spans="7:7">
      <c r="G198" s="24">
        <f t="shared" si="7"/>
        <v>107000</v>
      </c>
    </row>
    <row r="199" spans="7:7">
      <c r="G199" s="24">
        <f t="shared" si="7"/>
        <v>110000</v>
      </c>
    </row>
    <row r="200" spans="7:7">
      <c r="G200" s="24">
        <f t="shared" si="7"/>
        <v>113000</v>
      </c>
    </row>
    <row r="201" spans="7:7">
      <c r="G201" s="24">
        <f t="shared" si="7"/>
        <v>115000</v>
      </c>
    </row>
    <row r="202" spans="7:7">
      <c r="G202" s="24">
        <f t="shared" si="7"/>
        <v>118000</v>
      </c>
    </row>
    <row r="203" spans="7:7">
      <c r="G203" s="24">
        <f t="shared" si="7"/>
        <v>121000</v>
      </c>
    </row>
    <row r="204" spans="7:7">
      <c r="G204" s="24">
        <f t="shared" si="7"/>
        <v>124000</v>
      </c>
    </row>
    <row r="205" spans="7:7">
      <c r="G205" s="24">
        <f t="shared" si="7"/>
        <v>127000</v>
      </c>
    </row>
    <row r="206" spans="7:7">
      <c r="G206" s="24">
        <f t="shared" si="7"/>
        <v>130000</v>
      </c>
    </row>
    <row r="207" spans="7:7">
      <c r="G207" s="24">
        <f t="shared" si="7"/>
        <v>133000</v>
      </c>
    </row>
    <row r="208" spans="7:7">
      <c r="G208" s="24">
        <f t="shared" si="7"/>
        <v>137000</v>
      </c>
    </row>
    <row r="209" spans="7:7">
      <c r="G209" s="24">
        <f t="shared" si="7"/>
        <v>140000</v>
      </c>
    </row>
    <row r="210" spans="7:7">
      <c r="G210" s="24">
        <f t="shared" si="7"/>
        <v>143000</v>
      </c>
    </row>
    <row r="211" spans="7:7">
      <c r="G211" s="24">
        <f t="shared" si="7"/>
        <v>147000</v>
      </c>
    </row>
    <row r="212" spans="7:7">
      <c r="G212" s="24">
        <f t="shared" si="7"/>
        <v>150000</v>
      </c>
    </row>
    <row r="213" spans="7:7">
      <c r="G213" s="24">
        <f t="shared" si="7"/>
        <v>154000</v>
      </c>
    </row>
    <row r="214" spans="7:7">
      <c r="G214" s="24">
        <f t="shared" si="7"/>
        <v>158000</v>
      </c>
    </row>
    <row r="215" spans="7:7">
      <c r="G215" s="24">
        <f t="shared" si="7"/>
        <v>162000</v>
      </c>
    </row>
    <row r="216" spans="7:7">
      <c r="G216" s="24">
        <f t="shared" si="7"/>
        <v>165000</v>
      </c>
    </row>
    <row r="217" spans="7:7">
      <c r="G217" s="24">
        <f t="shared" si="7"/>
        <v>169000</v>
      </c>
    </row>
    <row r="218" spans="7:7">
      <c r="G218" s="24">
        <f t="shared" si="7"/>
        <v>174000</v>
      </c>
    </row>
    <row r="219" spans="7:7">
      <c r="G219" s="24">
        <f t="shared" si="7"/>
        <v>178000</v>
      </c>
    </row>
    <row r="220" spans="7:7">
      <c r="G220" s="24">
        <f t="shared" si="7"/>
        <v>182000</v>
      </c>
    </row>
    <row r="221" spans="7:7">
      <c r="G221" s="24">
        <f t="shared" si="7"/>
        <v>187000</v>
      </c>
    </row>
    <row r="222" spans="7:7">
      <c r="G222" s="24">
        <f t="shared" si="7"/>
        <v>191000</v>
      </c>
    </row>
    <row r="223" spans="7:7">
      <c r="G223" s="24">
        <f t="shared" si="7"/>
        <v>196000</v>
      </c>
    </row>
    <row r="224" spans="7:7">
      <c r="G224" s="24">
        <f t="shared" si="7"/>
        <v>200000</v>
      </c>
    </row>
    <row r="225" spans="7:7">
      <c r="G225" s="24">
        <f t="shared" si="7"/>
        <v>205000</v>
      </c>
    </row>
    <row r="226" spans="7:7">
      <c r="G226" s="24">
        <f t="shared" si="7"/>
        <v>210000</v>
      </c>
    </row>
    <row r="227" spans="7:7">
      <c r="G227" s="24">
        <f t="shared" si="7"/>
        <v>215000</v>
      </c>
    </row>
    <row r="228" spans="7:7">
      <c r="G228" s="24">
        <f t="shared" si="7"/>
        <v>221000</v>
      </c>
    </row>
    <row r="229" spans="7:7">
      <c r="G229" s="24">
        <f t="shared" si="7"/>
        <v>226000</v>
      </c>
    </row>
    <row r="230" spans="7:7">
      <c r="G230" s="24">
        <f t="shared" si="7"/>
        <v>232000</v>
      </c>
    </row>
    <row r="231" spans="7:7">
      <c r="G231" s="24">
        <f t="shared" si="7"/>
        <v>237000</v>
      </c>
    </row>
    <row r="232" spans="7:7">
      <c r="G232" s="24">
        <f t="shared" si="7"/>
        <v>243000</v>
      </c>
    </row>
    <row r="233" spans="7:7">
      <c r="G233" s="24">
        <f t="shared" si="7"/>
        <v>249000</v>
      </c>
    </row>
    <row r="234" spans="7:7">
      <c r="G234" s="24">
        <f t="shared" si="7"/>
        <v>255000</v>
      </c>
    </row>
    <row r="235" spans="7:7">
      <c r="G235" s="24">
        <f t="shared" si="7"/>
        <v>261000</v>
      </c>
    </row>
    <row r="236" spans="7:7">
      <c r="G236" s="24">
        <f t="shared" si="7"/>
        <v>267000</v>
      </c>
    </row>
    <row r="237" spans="7:7">
      <c r="G237" s="24">
        <f t="shared" si="7"/>
        <v>274000</v>
      </c>
    </row>
    <row r="238" spans="7:7">
      <c r="G238" s="24">
        <f t="shared" si="7"/>
        <v>280000</v>
      </c>
    </row>
    <row r="239" spans="7:7">
      <c r="G239" s="24">
        <f t="shared" si="7"/>
        <v>287000</v>
      </c>
    </row>
    <row r="240" spans="7:7">
      <c r="G240" s="24">
        <f t="shared" si="7"/>
        <v>294000</v>
      </c>
    </row>
    <row r="241" spans="7:7">
      <c r="G241" s="24">
        <f t="shared" si="7"/>
        <v>301000</v>
      </c>
    </row>
    <row r="242" spans="7:7">
      <c r="G242" s="24">
        <f t="shared" si="7"/>
        <v>309000</v>
      </c>
    </row>
    <row r="243" spans="7:7">
      <c r="G243" s="24">
        <f t="shared" si="7"/>
        <v>316000</v>
      </c>
    </row>
    <row r="244" spans="7:7">
      <c r="G244" s="24">
        <f t="shared" si="7"/>
        <v>324000</v>
      </c>
    </row>
    <row r="245" spans="7:7">
      <c r="G245" s="24">
        <f t="shared" si="7"/>
        <v>332000</v>
      </c>
    </row>
    <row r="246" spans="7:7">
      <c r="G246" s="24">
        <f t="shared" si="7"/>
        <v>340000</v>
      </c>
    </row>
    <row r="247" spans="7:7">
      <c r="G247" s="24">
        <f t="shared" si="7"/>
        <v>348000</v>
      </c>
    </row>
    <row r="248" spans="7:7">
      <c r="G248" s="24">
        <f t="shared" si="7"/>
        <v>357000</v>
      </c>
    </row>
    <row r="249" spans="7:7">
      <c r="G249" s="24">
        <f t="shared" si="7"/>
        <v>365000</v>
      </c>
    </row>
    <row r="250" spans="7:7">
      <c r="G250" s="24">
        <f t="shared" si="7"/>
        <v>374000</v>
      </c>
    </row>
    <row r="251" spans="7:7">
      <c r="G251" s="24">
        <f t="shared" si="7"/>
        <v>383000</v>
      </c>
    </row>
    <row r="252" spans="7:7">
      <c r="G252" s="24">
        <f t="shared" si="7"/>
        <v>392000</v>
      </c>
    </row>
    <row r="253" spans="7:7">
      <c r="G253" s="24">
        <f t="shared" si="7"/>
        <v>402000</v>
      </c>
    </row>
    <row r="254" spans="7:7">
      <c r="G254" s="24">
        <f t="shared" si="7"/>
        <v>412000</v>
      </c>
    </row>
    <row r="255" spans="7:7">
      <c r="G255" s="24">
        <f t="shared" si="7"/>
        <v>422000</v>
      </c>
    </row>
    <row r="256" spans="7:7">
      <c r="G256" s="24">
        <f t="shared" si="7"/>
        <v>432000</v>
      </c>
    </row>
    <row r="257" spans="7:7">
      <c r="G257" s="24">
        <f t="shared" si="7"/>
        <v>442000</v>
      </c>
    </row>
    <row r="258" spans="7:7">
      <c r="G258" s="24">
        <f t="shared" si="7"/>
        <v>453000</v>
      </c>
    </row>
    <row r="259" spans="7:7">
      <c r="G259" s="24">
        <f t="shared" si="7"/>
        <v>464000</v>
      </c>
    </row>
    <row r="260" spans="7:7">
      <c r="G260" s="24">
        <f t="shared" ref="G260:G290" si="8">100000*D68</f>
        <v>475000</v>
      </c>
    </row>
    <row r="261" spans="7:7">
      <c r="G261" s="24">
        <f t="shared" si="8"/>
        <v>487000</v>
      </c>
    </row>
    <row r="262" spans="7:7">
      <c r="G262" s="24">
        <f t="shared" si="8"/>
        <v>499000</v>
      </c>
    </row>
    <row r="263" spans="7:7">
      <c r="G263" s="24">
        <f t="shared" si="8"/>
        <v>511000</v>
      </c>
    </row>
    <row r="264" spans="7:7">
      <c r="G264" s="24">
        <f t="shared" si="8"/>
        <v>523000</v>
      </c>
    </row>
    <row r="265" spans="7:7">
      <c r="G265" s="24">
        <f t="shared" si="8"/>
        <v>536000</v>
      </c>
    </row>
    <row r="266" spans="7:7">
      <c r="G266" s="24">
        <f t="shared" si="8"/>
        <v>549000</v>
      </c>
    </row>
    <row r="267" spans="7:7">
      <c r="G267" s="24">
        <f t="shared" si="8"/>
        <v>562000</v>
      </c>
    </row>
    <row r="268" spans="7:7">
      <c r="G268" s="24">
        <f t="shared" si="8"/>
        <v>576000</v>
      </c>
    </row>
    <row r="269" spans="7:7">
      <c r="G269" s="24">
        <f t="shared" si="8"/>
        <v>590000</v>
      </c>
    </row>
    <row r="270" spans="7:7">
      <c r="G270" s="24">
        <f t="shared" si="8"/>
        <v>604000</v>
      </c>
    </row>
    <row r="271" spans="7:7">
      <c r="G271" s="24">
        <f t="shared" si="8"/>
        <v>619000</v>
      </c>
    </row>
    <row r="272" spans="7:7">
      <c r="G272" s="24">
        <f t="shared" si="8"/>
        <v>634000</v>
      </c>
    </row>
    <row r="273" spans="7:7">
      <c r="G273" s="24">
        <f t="shared" si="8"/>
        <v>649000</v>
      </c>
    </row>
    <row r="274" spans="7:7">
      <c r="G274" s="24">
        <f t="shared" si="8"/>
        <v>665000</v>
      </c>
    </row>
    <row r="275" spans="7:7">
      <c r="G275" s="24">
        <f t="shared" si="8"/>
        <v>681000</v>
      </c>
    </row>
    <row r="276" spans="7:7">
      <c r="G276" s="24">
        <f t="shared" si="8"/>
        <v>698000</v>
      </c>
    </row>
    <row r="277" spans="7:7">
      <c r="G277" s="24">
        <f t="shared" si="8"/>
        <v>715000</v>
      </c>
    </row>
    <row r="278" spans="7:7">
      <c r="G278" s="24">
        <f t="shared" si="8"/>
        <v>732000</v>
      </c>
    </row>
    <row r="279" spans="7:7">
      <c r="G279" s="24">
        <f t="shared" si="8"/>
        <v>750000</v>
      </c>
    </row>
    <row r="280" spans="7:7">
      <c r="G280" s="24">
        <f t="shared" si="8"/>
        <v>768000</v>
      </c>
    </row>
    <row r="281" spans="7:7">
      <c r="G281" s="24">
        <f t="shared" si="8"/>
        <v>787000</v>
      </c>
    </row>
    <row r="282" spans="7:7">
      <c r="G282" s="24">
        <f t="shared" si="8"/>
        <v>806000</v>
      </c>
    </row>
    <row r="283" spans="7:7">
      <c r="G283" s="24">
        <f t="shared" si="8"/>
        <v>825000</v>
      </c>
    </row>
    <row r="284" spans="7:7">
      <c r="G284" s="24">
        <f t="shared" si="8"/>
        <v>845000</v>
      </c>
    </row>
    <row r="285" spans="7:7">
      <c r="G285" s="24">
        <f t="shared" si="8"/>
        <v>866000</v>
      </c>
    </row>
    <row r="286" spans="7:7">
      <c r="G286" s="24">
        <f t="shared" si="8"/>
        <v>887000</v>
      </c>
    </row>
    <row r="287" spans="7:7">
      <c r="G287" s="24">
        <f t="shared" si="8"/>
        <v>909000</v>
      </c>
    </row>
    <row r="288" spans="7:7">
      <c r="G288" s="24">
        <f t="shared" si="8"/>
        <v>931000</v>
      </c>
    </row>
    <row r="289" spans="7:7">
      <c r="G289" s="24">
        <f t="shared" si="8"/>
        <v>953000</v>
      </c>
    </row>
    <row r="290" spans="7:7">
      <c r="G290" s="24">
        <f t="shared" si="8"/>
        <v>976000</v>
      </c>
    </row>
    <row r="291" spans="6:7">
      <c r="F291" t="s">
        <v>143</v>
      </c>
      <c r="G291" s="24">
        <f>1000000*D3</f>
        <v>1000000</v>
      </c>
    </row>
    <row r="292" spans="6:7">
      <c r="F292" t="s">
        <v>144</v>
      </c>
      <c r="G292" s="24">
        <v>10000000</v>
      </c>
    </row>
  </sheetData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92D050"/>
  </sheetPr>
  <dimension ref="B2:R39"/>
  <sheetViews>
    <sheetView workbookViewId="0">
      <selection activeCell="F11" sqref="F11"/>
    </sheetView>
  </sheetViews>
  <sheetFormatPr defaultColWidth="9" defaultRowHeight="13.2"/>
  <cols>
    <col min="2" max="2" width="12" customWidth="1"/>
    <col min="3" max="3" width="9.13888888888889" customWidth="1"/>
    <col min="4" max="4" width="12.712962962963" customWidth="1"/>
    <col min="7" max="7" width="12.712962962963" hidden="1" customWidth="1"/>
    <col min="8" max="9" width="11.5740740740741" hidden="1" customWidth="1"/>
    <col min="10" max="10" width="24.1388888888889" hidden="1" customWidth="1"/>
    <col min="11" max="11" width="12" hidden="1" customWidth="1"/>
    <col min="12" max="12" width="11.8518518518519" hidden="1" customWidth="1"/>
    <col min="13" max="13" width="13.287037037037" hidden="1" customWidth="1"/>
    <col min="14" max="14" width="10.8518518518519" hidden="1" customWidth="1"/>
    <col min="15" max="15" width="15.8518518518519" hidden="1" customWidth="1"/>
    <col min="16" max="16" width="14.4259259259259" hidden="1" customWidth="1"/>
    <col min="17" max="17" width="20.5740740740741" customWidth="1"/>
    <col min="18" max="18" width="12" customWidth="1"/>
  </cols>
  <sheetData>
    <row r="2" ht="13.95"/>
    <row r="3" s="1" customFormat="1" ht="27.15" spans="2:18">
      <c r="B3" s="3" t="s">
        <v>19</v>
      </c>
      <c r="C3" s="4">
        <v>-23313</v>
      </c>
      <c r="D3" s="3" t="s">
        <v>20</v>
      </c>
      <c r="E3" s="5">
        <v>-864</v>
      </c>
      <c r="G3" s="6" t="s">
        <v>42</v>
      </c>
      <c r="H3" s="6" t="s">
        <v>145</v>
      </c>
      <c r="I3" s="6" t="s">
        <v>146</v>
      </c>
      <c r="J3" s="18" t="s">
        <v>147</v>
      </c>
      <c r="K3" s="18" t="s">
        <v>148</v>
      </c>
      <c r="L3" s="19" t="s">
        <v>149</v>
      </c>
      <c r="M3" s="19" t="s">
        <v>150</v>
      </c>
      <c r="N3" s="19" t="s">
        <v>151</v>
      </c>
      <c r="O3" s="19" t="s">
        <v>152</v>
      </c>
      <c r="P3" s="19" t="s">
        <v>153</v>
      </c>
      <c r="Q3" s="20" t="s">
        <v>154</v>
      </c>
      <c r="R3" s="21" t="s">
        <v>42</v>
      </c>
    </row>
    <row r="4" ht="13.95" spans="2:18">
      <c r="B4" s="7" t="s">
        <v>21</v>
      </c>
      <c r="C4" s="8">
        <v>39961</v>
      </c>
      <c r="D4" s="9" t="s">
        <v>22</v>
      </c>
      <c r="E4" s="10">
        <v>1624</v>
      </c>
      <c r="G4" s="11">
        <f>Accuracy!F4</f>
        <v>-40</v>
      </c>
      <c r="H4" s="11">
        <f>Accuracy!G4</f>
        <v>188500</v>
      </c>
      <c r="I4" s="11">
        <v>18441</v>
      </c>
      <c r="J4">
        <f>ROUND(32768*(H4+$C$11)/(H4+$C$11+I4),0)</f>
        <v>29848</v>
      </c>
      <c r="K4">
        <f>ROUND(J4-((32768-J4)*$C$11)/I4,0)</f>
        <v>29848</v>
      </c>
      <c r="L4">
        <f>$C$9-((32768-K4)*($C$9-$C$10)/(32768-$C$10))</f>
        <v>11703</v>
      </c>
      <c r="M4">
        <f>K4*$C$9/L4</f>
        <v>29848</v>
      </c>
      <c r="N4">
        <f>(16384*M4)/($C$3*(M4/32767)^4+$C$4*(M4/32767)^3+$C$5*(M4/32767)^2+$C$6*(M4/32767)+$C$7)</f>
        <v>26996.9146458883</v>
      </c>
      <c r="O4">
        <f>$E$3*(N4/32767)^3+$E$4*(N4/32767)^2+$E$5*(N4/32767)+$E$6</f>
        <v>2441.01319485112</v>
      </c>
      <c r="P4">
        <f>O4/10-273.15</f>
        <v>-29.0486805148882</v>
      </c>
      <c r="Q4" s="22">
        <f>P4-G4</f>
        <v>10.9513194851118</v>
      </c>
      <c r="R4" s="23">
        <f>G4</f>
        <v>-40</v>
      </c>
    </row>
    <row r="5" ht="13.95" spans="2:18">
      <c r="B5" s="7" t="s">
        <v>23</v>
      </c>
      <c r="C5" s="8">
        <v>-31531</v>
      </c>
      <c r="D5" s="12" t="s">
        <v>24</v>
      </c>
      <c r="E5" s="10">
        <v>-4048</v>
      </c>
      <c r="G5" s="11">
        <f>Accuracy!F5</f>
        <v>-35</v>
      </c>
      <c r="H5" s="11">
        <f>Accuracy!G5</f>
        <v>144100</v>
      </c>
      <c r="I5" s="11">
        <v>18394</v>
      </c>
      <c r="J5">
        <f t="shared" ref="J5:J39" si="0">ROUND(32768*(H5+$C$11)/(H5+$C$11+I5),0)</f>
        <v>29059</v>
      </c>
      <c r="K5">
        <f t="shared" ref="K5:K39" si="1">ROUND(J5-((32768-J5)*$C$11)/I5,0)</f>
        <v>29059</v>
      </c>
      <c r="L5">
        <f t="shared" ref="L5:L39" si="2">$C$9-((32768-K5)*($C$9-$C$10)/(32768-$C$10))</f>
        <v>11703</v>
      </c>
      <c r="M5">
        <f t="shared" ref="M5:M39" si="3">K5*$C$9/L5</f>
        <v>29059</v>
      </c>
      <c r="N5">
        <f t="shared" ref="N5:N39" si="4">(16384*M5)/($C$3*(M5/32767)^4+$C$4*(M5/32767)^3+$C$5*(M5/32767)^2+$C$6*(M5/32767)+$C$7)</f>
        <v>26439.0137110099</v>
      </c>
      <c r="O5">
        <f t="shared" ref="O5:O39" si="5">$E$3*(N5/32767)^3+$E$4*(N5/32767)^2+$E$5*(N5/32767)+$E$6</f>
        <v>2494.18630470202</v>
      </c>
      <c r="P5">
        <f t="shared" ref="P5:P39" si="6">O5/10-273.15</f>
        <v>-23.7313695297975</v>
      </c>
      <c r="Q5" s="22">
        <f t="shared" ref="Q5:Q39" si="7">P5-G5</f>
        <v>11.2686304702025</v>
      </c>
      <c r="R5" s="23">
        <f t="shared" ref="R5:R39" si="8">G5</f>
        <v>-35</v>
      </c>
    </row>
    <row r="6" ht="13.95" spans="2:18">
      <c r="B6" s="7" t="s">
        <v>25</v>
      </c>
      <c r="C6" s="8">
        <v>31986</v>
      </c>
      <c r="D6" s="12" t="s">
        <v>26</v>
      </c>
      <c r="E6" s="10">
        <v>5157</v>
      </c>
      <c r="G6" s="11">
        <f>Accuracy!F6</f>
        <v>-30</v>
      </c>
      <c r="H6" s="11">
        <f>Accuracy!G6</f>
        <v>111300</v>
      </c>
      <c r="I6" s="11">
        <v>18348</v>
      </c>
      <c r="J6">
        <f t="shared" si="0"/>
        <v>28131</v>
      </c>
      <c r="K6">
        <f t="shared" si="1"/>
        <v>28131</v>
      </c>
      <c r="L6">
        <f t="shared" si="2"/>
        <v>11703</v>
      </c>
      <c r="M6">
        <f t="shared" si="3"/>
        <v>28131</v>
      </c>
      <c r="N6">
        <f t="shared" si="4"/>
        <v>25849.519634372</v>
      </c>
      <c r="O6">
        <f t="shared" si="5"/>
        <v>2550.07659041467</v>
      </c>
      <c r="P6">
        <f t="shared" si="6"/>
        <v>-18.1423409585332</v>
      </c>
      <c r="Q6" s="22">
        <f t="shared" si="7"/>
        <v>11.8576590414668</v>
      </c>
      <c r="R6" s="23">
        <f t="shared" si="8"/>
        <v>-30</v>
      </c>
    </row>
    <row r="7" ht="13.95" spans="2:18">
      <c r="B7" s="7" t="s">
        <v>28</v>
      </c>
      <c r="C7" s="13">
        <v>988</v>
      </c>
      <c r="G7" s="11">
        <f>Accuracy!F7</f>
        <v>-25</v>
      </c>
      <c r="H7" s="11">
        <f>Accuracy!G7</f>
        <v>86430</v>
      </c>
      <c r="I7" s="11">
        <v>18301</v>
      </c>
      <c r="J7">
        <f t="shared" si="0"/>
        <v>27042</v>
      </c>
      <c r="K7">
        <f t="shared" si="1"/>
        <v>27042</v>
      </c>
      <c r="L7">
        <f t="shared" si="2"/>
        <v>11703</v>
      </c>
      <c r="M7">
        <f t="shared" si="3"/>
        <v>27042</v>
      </c>
      <c r="N7">
        <f t="shared" si="4"/>
        <v>25234.9839747279</v>
      </c>
      <c r="O7">
        <f t="shared" si="5"/>
        <v>2608.05154632305</v>
      </c>
      <c r="P7">
        <f t="shared" si="6"/>
        <v>-12.3448453676947</v>
      </c>
      <c r="Q7" s="22">
        <f t="shared" si="7"/>
        <v>12.6551546323053</v>
      </c>
      <c r="R7" s="23">
        <f t="shared" si="8"/>
        <v>-25</v>
      </c>
    </row>
    <row r="8" ht="13.95" spans="7:18">
      <c r="G8" s="11">
        <f>Accuracy!F8</f>
        <v>-20</v>
      </c>
      <c r="H8" s="11">
        <f>Accuracy!G8</f>
        <v>67770</v>
      </c>
      <c r="I8" s="11">
        <v>18255</v>
      </c>
      <c r="J8">
        <f t="shared" si="0"/>
        <v>25814</v>
      </c>
      <c r="K8">
        <f t="shared" si="1"/>
        <v>25814</v>
      </c>
      <c r="L8">
        <f t="shared" si="2"/>
        <v>11703</v>
      </c>
      <c r="M8">
        <f t="shared" si="3"/>
        <v>25814</v>
      </c>
      <c r="N8">
        <f t="shared" si="4"/>
        <v>24623.609993804</v>
      </c>
      <c r="O8">
        <f t="shared" si="5"/>
        <v>2665.46836416373</v>
      </c>
      <c r="P8">
        <f t="shared" si="6"/>
        <v>-6.60316358362712</v>
      </c>
      <c r="Q8" s="22">
        <f t="shared" si="7"/>
        <v>13.3968364163729</v>
      </c>
      <c r="R8" s="23">
        <f t="shared" si="8"/>
        <v>-20</v>
      </c>
    </row>
    <row r="9" ht="13.95" spans="2:18">
      <c r="B9" s="7" t="s">
        <v>155</v>
      </c>
      <c r="C9" s="14">
        <v>11703</v>
      </c>
      <c r="G9" s="11">
        <f>Accuracy!F9</f>
        <v>-15</v>
      </c>
      <c r="H9" s="11">
        <f>Accuracy!G9</f>
        <v>53410</v>
      </c>
      <c r="I9" s="11">
        <v>18213</v>
      </c>
      <c r="J9">
        <f t="shared" si="0"/>
        <v>24435</v>
      </c>
      <c r="K9">
        <f t="shared" si="1"/>
        <v>24435</v>
      </c>
      <c r="L9">
        <f t="shared" si="2"/>
        <v>11703</v>
      </c>
      <c r="M9">
        <f t="shared" si="3"/>
        <v>24435</v>
      </c>
      <c r="N9">
        <f t="shared" si="4"/>
        <v>24018.0890682631</v>
      </c>
      <c r="O9">
        <f t="shared" si="5"/>
        <v>2722.11315113613</v>
      </c>
      <c r="P9">
        <f t="shared" si="6"/>
        <v>-0.938684886387421</v>
      </c>
      <c r="Q9" s="22">
        <f t="shared" si="7"/>
        <v>14.0613151136126</v>
      </c>
      <c r="R9" s="23">
        <f t="shared" si="8"/>
        <v>-15</v>
      </c>
    </row>
    <row r="10" ht="13.95" spans="2:18">
      <c r="B10" s="7" t="s">
        <v>156</v>
      </c>
      <c r="C10" s="14">
        <v>11703</v>
      </c>
      <c r="G10" s="11">
        <f>Accuracy!F10</f>
        <v>-10</v>
      </c>
      <c r="H10" s="11">
        <f>Accuracy!G10</f>
        <v>42470</v>
      </c>
      <c r="I10" s="11">
        <v>18171</v>
      </c>
      <c r="J10">
        <f t="shared" si="0"/>
        <v>22949</v>
      </c>
      <c r="K10">
        <f t="shared" si="1"/>
        <v>22949</v>
      </c>
      <c r="L10">
        <f t="shared" si="2"/>
        <v>11703</v>
      </c>
      <c r="M10">
        <f t="shared" si="3"/>
        <v>22949</v>
      </c>
      <c r="N10">
        <f t="shared" si="4"/>
        <v>23437.4166008768</v>
      </c>
      <c r="O10">
        <f t="shared" si="5"/>
        <v>2776.25600053254</v>
      </c>
      <c r="P10">
        <f t="shared" si="6"/>
        <v>4.47560005325408</v>
      </c>
      <c r="Q10" s="22">
        <f t="shared" si="7"/>
        <v>14.4756000532541</v>
      </c>
      <c r="R10" s="23">
        <f t="shared" si="8"/>
        <v>-10</v>
      </c>
    </row>
    <row r="11" ht="13.95" spans="2:18">
      <c r="B11" s="7" t="s">
        <v>157</v>
      </c>
      <c r="C11" s="14">
        <v>0</v>
      </c>
      <c r="D11" s="15"/>
      <c r="G11" s="11">
        <f>Accuracy!F11</f>
        <v>-5</v>
      </c>
      <c r="H11" s="11">
        <f>Accuracy!G11</f>
        <v>33900</v>
      </c>
      <c r="I11" s="11">
        <v>18129</v>
      </c>
      <c r="J11">
        <f t="shared" si="0"/>
        <v>21350</v>
      </c>
      <c r="K11">
        <f t="shared" si="1"/>
        <v>21350</v>
      </c>
      <c r="L11">
        <f t="shared" si="2"/>
        <v>11703</v>
      </c>
      <c r="M11">
        <f t="shared" si="3"/>
        <v>21350</v>
      </c>
      <c r="N11">
        <f t="shared" si="4"/>
        <v>22870.1512772333</v>
      </c>
      <c r="O11">
        <f t="shared" si="5"/>
        <v>2829.00904073456</v>
      </c>
      <c r="P11">
        <f t="shared" si="6"/>
        <v>9.7509040734559</v>
      </c>
      <c r="Q11" s="22">
        <f t="shared" si="7"/>
        <v>14.7509040734559</v>
      </c>
      <c r="R11" s="23">
        <f t="shared" si="8"/>
        <v>-5</v>
      </c>
    </row>
    <row r="12" spans="2:18">
      <c r="B12" s="16"/>
      <c r="C12" s="17"/>
      <c r="D12" s="15"/>
      <c r="G12" s="11">
        <f>Accuracy!F12</f>
        <v>0</v>
      </c>
      <c r="H12" s="11">
        <f>Accuracy!G12</f>
        <v>27280</v>
      </c>
      <c r="I12" s="11">
        <v>18086</v>
      </c>
      <c r="J12">
        <f t="shared" si="0"/>
        <v>19704</v>
      </c>
      <c r="K12">
        <f t="shared" si="1"/>
        <v>19704</v>
      </c>
      <c r="L12">
        <f t="shared" si="2"/>
        <v>11703</v>
      </c>
      <c r="M12">
        <f t="shared" si="3"/>
        <v>19704</v>
      </c>
      <c r="N12">
        <f t="shared" si="4"/>
        <v>22323.3148019323</v>
      </c>
      <c r="O12">
        <f t="shared" si="5"/>
        <v>2879.75694548543</v>
      </c>
      <c r="P12">
        <f t="shared" si="6"/>
        <v>14.8256945485425</v>
      </c>
      <c r="Q12" s="22">
        <f t="shared" si="7"/>
        <v>14.8256945485425</v>
      </c>
      <c r="R12" s="23">
        <f t="shared" si="8"/>
        <v>0</v>
      </c>
    </row>
    <row r="13" spans="7:18">
      <c r="G13" s="11">
        <f>Accuracy!F13</f>
        <v>5</v>
      </c>
      <c r="H13" s="11">
        <f>Accuracy!G13</f>
        <v>22050</v>
      </c>
      <c r="I13" s="11">
        <v>18047</v>
      </c>
      <c r="J13">
        <f t="shared" si="0"/>
        <v>18020</v>
      </c>
      <c r="K13">
        <f t="shared" si="1"/>
        <v>18020</v>
      </c>
      <c r="L13">
        <f t="shared" si="2"/>
        <v>11703</v>
      </c>
      <c r="M13">
        <f t="shared" si="3"/>
        <v>18020</v>
      </c>
      <c r="N13">
        <f t="shared" si="4"/>
        <v>21778.6526938832</v>
      </c>
      <c r="O13">
        <f t="shared" si="5"/>
        <v>2930.22448135455</v>
      </c>
      <c r="P13">
        <f t="shared" si="6"/>
        <v>19.8724481354552</v>
      </c>
      <c r="Q13" s="22">
        <f t="shared" si="7"/>
        <v>14.8724481354552</v>
      </c>
      <c r="R13" s="23">
        <f t="shared" si="8"/>
        <v>5</v>
      </c>
    </row>
    <row r="14" spans="2:18">
      <c r="B14" s="1" t="s">
        <v>158</v>
      </c>
      <c r="C14" s="1"/>
      <c r="D14" s="1"/>
      <c r="E14" s="1"/>
      <c r="G14" s="11">
        <f>Accuracy!F14</f>
        <v>10</v>
      </c>
      <c r="H14" s="11">
        <f>Accuracy!G14</f>
        <v>17960</v>
      </c>
      <c r="I14" s="11">
        <v>18008</v>
      </c>
      <c r="J14">
        <f t="shared" si="0"/>
        <v>16362</v>
      </c>
      <c r="K14">
        <f t="shared" si="1"/>
        <v>16362</v>
      </c>
      <c r="L14">
        <f t="shared" si="2"/>
        <v>11703</v>
      </c>
      <c r="M14">
        <f t="shared" si="3"/>
        <v>16362</v>
      </c>
      <c r="N14">
        <f t="shared" si="4"/>
        <v>21235.3556411443</v>
      </c>
      <c r="O14">
        <f t="shared" si="5"/>
        <v>2980.51113380825</v>
      </c>
      <c r="P14">
        <f t="shared" si="6"/>
        <v>24.9011133808253</v>
      </c>
      <c r="Q14" s="22">
        <f t="shared" si="7"/>
        <v>14.9011133808253</v>
      </c>
      <c r="R14" s="23">
        <f t="shared" si="8"/>
        <v>10</v>
      </c>
    </row>
    <row r="15" spans="2:18">
      <c r="B15" s="1"/>
      <c r="C15" s="1"/>
      <c r="D15" s="1"/>
      <c r="E15" s="1"/>
      <c r="G15" s="11">
        <f>Accuracy!F15</f>
        <v>15</v>
      </c>
      <c r="H15" s="11">
        <f>Accuracy!G15</f>
        <v>14690</v>
      </c>
      <c r="I15" s="11">
        <v>17969</v>
      </c>
      <c r="J15">
        <f t="shared" si="0"/>
        <v>14739</v>
      </c>
      <c r="K15">
        <f t="shared" si="1"/>
        <v>14739</v>
      </c>
      <c r="L15">
        <f t="shared" si="2"/>
        <v>11703</v>
      </c>
      <c r="M15">
        <f t="shared" si="3"/>
        <v>14739</v>
      </c>
      <c r="N15">
        <f t="shared" si="4"/>
        <v>20677.6345322291</v>
      </c>
      <c r="O15">
        <f t="shared" si="5"/>
        <v>3032.10115595998</v>
      </c>
      <c r="P15">
        <f t="shared" si="6"/>
        <v>30.0601155959984</v>
      </c>
      <c r="Q15" s="22">
        <f t="shared" si="7"/>
        <v>15.0601155959984</v>
      </c>
      <c r="R15" s="23">
        <f t="shared" si="8"/>
        <v>15</v>
      </c>
    </row>
    <row r="16" spans="7:18">
      <c r="G16" s="11">
        <f>Accuracy!F16</f>
        <v>20</v>
      </c>
      <c r="H16" s="11">
        <f>Accuracy!G16</f>
        <v>12090</v>
      </c>
      <c r="I16" s="11">
        <v>17930</v>
      </c>
      <c r="J16">
        <f t="shared" si="0"/>
        <v>13197</v>
      </c>
      <c r="K16">
        <f t="shared" si="1"/>
        <v>13197</v>
      </c>
      <c r="L16">
        <f t="shared" si="2"/>
        <v>11703</v>
      </c>
      <c r="M16">
        <f t="shared" si="3"/>
        <v>13197</v>
      </c>
      <c r="N16">
        <f t="shared" si="4"/>
        <v>20107.7115712645</v>
      </c>
      <c r="O16">
        <f t="shared" si="5"/>
        <v>3084.81306677816</v>
      </c>
      <c r="P16">
        <f t="shared" si="6"/>
        <v>35.3313066778162</v>
      </c>
      <c r="Q16" s="22">
        <f t="shared" si="7"/>
        <v>15.3313066778162</v>
      </c>
      <c r="R16" s="23">
        <f t="shared" si="8"/>
        <v>20</v>
      </c>
    </row>
    <row r="17" s="2" customFormat="1" spans="7:18">
      <c r="G17" s="11">
        <f>Accuracy!F17</f>
        <v>25</v>
      </c>
      <c r="H17" s="11">
        <f>Accuracy!G17</f>
        <v>10000</v>
      </c>
      <c r="I17" s="11">
        <v>17891</v>
      </c>
      <c r="J17">
        <f t="shared" si="0"/>
        <v>11749</v>
      </c>
      <c r="K17">
        <f t="shared" si="1"/>
        <v>11749</v>
      </c>
      <c r="L17" s="2">
        <f t="shared" si="2"/>
        <v>11703</v>
      </c>
      <c r="M17" s="2">
        <f t="shared" si="3"/>
        <v>11749</v>
      </c>
      <c r="N17" s="2">
        <f t="shared" si="4"/>
        <v>19522.9922077298</v>
      </c>
      <c r="O17" s="2">
        <f t="shared" si="5"/>
        <v>3138.91473774502</v>
      </c>
      <c r="P17" s="2">
        <f t="shared" si="6"/>
        <v>40.7414737745023</v>
      </c>
      <c r="Q17" s="22">
        <f t="shared" si="7"/>
        <v>15.7414737745023</v>
      </c>
      <c r="R17" s="23">
        <f t="shared" si="8"/>
        <v>25</v>
      </c>
    </row>
    <row r="18" spans="7:18">
      <c r="G18" s="11">
        <f>Accuracy!F18</f>
        <v>30</v>
      </c>
      <c r="H18" s="11">
        <f>Accuracy!G18</f>
        <v>8313</v>
      </c>
      <c r="I18" s="11">
        <v>17856</v>
      </c>
      <c r="J18">
        <f t="shared" si="0"/>
        <v>10409</v>
      </c>
      <c r="K18">
        <f t="shared" si="1"/>
        <v>10409</v>
      </c>
      <c r="L18">
        <f t="shared" si="2"/>
        <v>11703</v>
      </c>
      <c r="M18">
        <f t="shared" si="3"/>
        <v>10409</v>
      </c>
      <c r="N18">
        <f t="shared" si="4"/>
        <v>18926.6288965369</v>
      </c>
      <c r="O18">
        <f t="shared" si="5"/>
        <v>3194.14623108007</v>
      </c>
      <c r="P18">
        <f t="shared" si="6"/>
        <v>46.2646231080074</v>
      </c>
      <c r="Q18" s="22">
        <f t="shared" si="7"/>
        <v>16.2646231080074</v>
      </c>
      <c r="R18" s="23">
        <f t="shared" si="8"/>
        <v>30</v>
      </c>
    </row>
    <row r="19" spans="7:18">
      <c r="G19" s="11">
        <f>Accuracy!F19</f>
        <v>35</v>
      </c>
      <c r="H19" s="11">
        <f>Accuracy!G19</f>
        <v>6940</v>
      </c>
      <c r="I19" s="11">
        <v>17822</v>
      </c>
      <c r="J19">
        <f t="shared" si="0"/>
        <v>9184</v>
      </c>
      <c r="K19">
        <f t="shared" si="1"/>
        <v>9184</v>
      </c>
      <c r="L19">
        <f t="shared" si="2"/>
        <v>11703</v>
      </c>
      <c r="M19">
        <f t="shared" si="3"/>
        <v>9184</v>
      </c>
      <c r="N19">
        <f t="shared" si="4"/>
        <v>18323.0608881844</v>
      </c>
      <c r="O19">
        <f t="shared" si="5"/>
        <v>3250.13065831925</v>
      </c>
      <c r="P19">
        <f t="shared" si="6"/>
        <v>51.8630658319248</v>
      </c>
      <c r="Q19" s="22">
        <f t="shared" si="7"/>
        <v>16.8630658319248</v>
      </c>
      <c r="R19" s="23">
        <f t="shared" si="8"/>
        <v>35</v>
      </c>
    </row>
    <row r="20" spans="7:18">
      <c r="G20" s="11">
        <f>Accuracy!F20</f>
        <v>40</v>
      </c>
      <c r="H20" s="11">
        <f>Accuracy!G20</f>
        <v>5827</v>
      </c>
      <c r="I20" s="11">
        <v>17787</v>
      </c>
      <c r="J20">
        <f t="shared" si="0"/>
        <v>8086</v>
      </c>
      <c r="K20">
        <f t="shared" si="1"/>
        <v>8086</v>
      </c>
      <c r="L20">
        <f t="shared" si="2"/>
        <v>11703</v>
      </c>
      <c r="M20">
        <f t="shared" si="3"/>
        <v>8086</v>
      </c>
      <c r="N20">
        <f t="shared" si="4"/>
        <v>17722.7375092299</v>
      </c>
      <c r="O20">
        <f t="shared" si="5"/>
        <v>3305.93158021387</v>
      </c>
      <c r="P20">
        <f t="shared" si="6"/>
        <v>57.4431580213874</v>
      </c>
      <c r="Q20" s="22">
        <f t="shared" si="7"/>
        <v>17.4431580213874</v>
      </c>
      <c r="R20" s="23">
        <f t="shared" si="8"/>
        <v>40</v>
      </c>
    </row>
    <row r="21" spans="7:18">
      <c r="G21" s="11">
        <f>Accuracy!F21</f>
        <v>45</v>
      </c>
      <c r="H21" s="11">
        <f>Accuracy!G21</f>
        <v>4911</v>
      </c>
      <c r="I21" s="11">
        <v>17753</v>
      </c>
      <c r="J21">
        <f t="shared" si="0"/>
        <v>7100</v>
      </c>
      <c r="K21">
        <f t="shared" si="1"/>
        <v>7100</v>
      </c>
      <c r="L21">
        <f t="shared" si="2"/>
        <v>11703</v>
      </c>
      <c r="M21">
        <f t="shared" si="3"/>
        <v>7100</v>
      </c>
      <c r="N21">
        <f t="shared" si="4"/>
        <v>17123.1599307067</v>
      </c>
      <c r="O21">
        <f t="shared" si="5"/>
        <v>3361.81196117091</v>
      </c>
      <c r="P21">
        <f t="shared" si="6"/>
        <v>63.031196117091</v>
      </c>
      <c r="Q21" s="22">
        <f t="shared" si="7"/>
        <v>18.031196117091</v>
      </c>
      <c r="R21" s="23">
        <f t="shared" si="8"/>
        <v>45</v>
      </c>
    </row>
    <row r="22" spans="7:18">
      <c r="G22" s="11">
        <f>Accuracy!F22</f>
        <v>50</v>
      </c>
      <c r="H22" s="11">
        <f>Accuracy!G22</f>
        <v>4160</v>
      </c>
      <c r="I22" s="11">
        <v>17718</v>
      </c>
      <c r="J22">
        <f t="shared" si="0"/>
        <v>6231</v>
      </c>
      <c r="K22">
        <f t="shared" si="1"/>
        <v>6231</v>
      </c>
      <c r="L22">
        <f t="shared" si="2"/>
        <v>11703</v>
      </c>
      <c r="M22">
        <f t="shared" si="3"/>
        <v>6231</v>
      </c>
      <c r="N22">
        <f t="shared" si="4"/>
        <v>16533.6765713466</v>
      </c>
      <c r="O22">
        <f t="shared" si="5"/>
        <v>3416.92732335819</v>
      </c>
      <c r="P22">
        <f t="shared" si="6"/>
        <v>68.5427323358194</v>
      </c>
      <c r="Q22" s="22">
        <f t="shared" si="7"/>
        <v>18.5427323358194</v>
      </c>
      <c r="R22" s="23">
        <f t="shared" si="8"/>
        <v>50</v>
      </c>
    </row>
    <row r="23" spans="7:18">
      <c r="G23" s="11">
        <f>Accuracy!F23</f>
        <v>55</v>
      </c>
      <c r="H23" s="11">
        <f>Accuracy!G23</f>
        <v>3536</v>
      </c>
      <c r="I23" s="11">
        <v>17684</v>
      </c>
      <c r="J23">
        <f t="shared" si="0"/>
        <v>5460</v>
      </c>
      <c r="K23">
        <f t="shared" si="1"/>
        <v>5460</v>
      </c>
      <c r="L23">
        <f t="shared" si="2"/>
        <v>11703</v>
      </c>
      <c r="M23">
        <f t="shared" si="3"/>
        <v>5460</v>
      </c>
      <c r="N23">
        <f t="shared" si="4"/>
        <v>15947.9513549495</v>
      </c>
      <c r="O23">
        <f t="shared" si="5"/>
        <v>3471.8939134929</v>
      </c>
      <c r="P23">
        <f t="shared" si="6"/>
        <v>74.0393913492898</v>
      </c>
      <c r="Q23" s="22">
        <f t="shared" si="7"/>
        <v>19.0393913492898</v>
      </c>
      <c r="R23" s="23">
        <f t="shared" si="8"/>
        <v>55</v>
      </c>
    </row>
    <row r="24" spans="7:18">
      <c r="G24" s="11">
        <f>Accuracy!F24</f>
        <v>60</v>
      </c>
      <c r="H24" s="11">
        <f>Accuracy!G24</f>
        <v>3020</v>
      </c>
      <c r="I24" s="11">
        <v>17649</v>
      </c>
      <c r="J24">
        <f t="shared" si="0"/>
        <v>4788</v>
      </c>
      <c r="K24">
        <f t="shared" si="1"/>
        <v>4788</v>
      </c>
      <c r="L24">
        <f t="shared" si="2"/>
        <v>11703</v>
      </c>
      <c r="M24">
        <f t="shared" si="3"/>
        <v>4788</v>
      </c>
      <c r="N24">
        <f t="shared" si="4"/>
        <v>15373.5962548834</v>
      </c>
      <c r="O24">
        <f t="shared" si="5"/>
        <v>3526.01823452539</v>
      </c>
      <c r="P24">
        <f t="shared" si="6"/>
        <v>79.4518234525391</v>
      </c>
      <c r="Q24" s="22">
        <f t="shared" si="7"/>
        <v>19.4518234525391</v>
      </c>
      <c r="R24" s="23">
        <f t="shared" si="8"/>
        <v>60</v>
      </c>
    </row>
    <row r="25" spans="7:18">
      <c r="G25" s="11">
        <f>Accuracy!F25</f>
        <v>65</v>
      </c>
      <c r="H25" s="11">
        <f>Accuracy!G25</f>
        <v>2588</v>
      </c>
      <c r="I25" s="11">
        <v>17623</v>
      </c>
      <c r="J25">
        <f t="shared" si="0"/>
        <v>4196</v>
      </c>
      <c r="K25">
        <f t="shared" si="1"/>
        <v>4196</v>
      </c>
      <c r="L25">
        <f t="shared" si="2"/>
        <v>11703</v>
      </c>
      <c r="M25">
        <f t="shared" si="3"/>
        <v>4196</v>
      </c>
      <c r="N25">
        <f t="shared" si="4"/>
        <v>14801.6106735582</v>
      </c>
      <c r="O25">
        <f t="shared" si="5"/>
        <v>3580.16832133945</v>
      </c>
      <c r="P25">
        <f t="shared" si="6"/>
        <v>84.8668321339449</v>
      </c>
      <c r="Q25" s="22">
        <f t="shared" si="7"/>
        <v>19.8668321339449</v>
      </c>
      <c r="R25" s="23">
        <f t="shared" si="8"/>
        <v>65</v>
      </c>
    </row>
    <row r="26" spans="7:18">
      <c r="G26" s="11">
        <f>Accuracy!F26</f>
        <v>70</v>
      </c>
      <c r="H26" s="11">
        <f>Accuracy!G26</f>
        <v>2228</v>
      </c>
      <c r="I26" s="11">
        <v>17597</v>
      </c>
      <c r="J26">
        <f t="shared" si="0"/>
        <v>3683</v>
      </c>
      <c r="K26">
        <f t="shared" si="1"/>
        <v>3683</v>
      </c>
      <c r="L26">
        <f t="shared" si="2"/>
        <v>11703</v>
      </c>
      <c r="M26">
        <f t="shared" si="3"/>
        <v>3683</v>
      </c>
      <c r="N26">
        <f t="shared" si="4"/>
        <v>14238.7617053785</v>
      </c>
      <c r="O26">
        <f t="shared" si="5"/>
        <v>3633.72287194311</v>
      </c>
      <c r="P26">
        <f t="shared" si="6"/>
        <v>90.2222871943111</v>
      </c>
      <c r="Q26" s="22">
        <f t="shared" si="7"/>
        <v>20.2222871943111</v>
      </c>
      <c r="R26" s="23">
        <f t="shared" si="8"/>
        <v>70</v>
      </c>
    </row>
    <row r="27" spans="7:18">
      <c r="G27" s="11">
        <f>Accuracy!F27</f>
        <v>75</v>
      </c>
      <c r="H27" s="11">
        <f>Accuracy!G27</f>
        <v>1924</v>
      </c>
      <c r="I27" s="11">
        <v>17570</v>
      </c>
      <c r="J27">
        <f t="shared" si="0"/>
        <v>3234</v>
      </c>
      <c r="K27">
        <f t="shared" si="1"/>
        <v>3234</v>
      </c>
      <c r="L27">
        <f t="shared" si="2"/>
        <v>11703</v>
      </c>
      <c r="M27">
        <f t="shared" si="3"/>
        <v>3234</v>
      </c>
      <c r="N27">
        <f t="shared" si="4"/>
        <v>13677.373188653</v>
      </c>
      <c r="O27">
        <f t="shared" si="5"/>
        <v>3687.4309748605</v>
      </c>
      <c r="P27">
        <f t="shared" si="6"/>
        <v>95.59309748605</v>
      </c>
      <c r="Q27" s="22">
        <f t="shared" si="7"/>
        <v>20.59309748605</v>
      </c>
      <c r="R27" s="23">
        <f t="shared" si="8"/>
        <v>75</v>
      </c>
    </row>
    <row r="28" spans="7:18">
      <c r="G28" s="11">
        <f>Accuracy!F28</f>
        <v>80</v>
      </c>
      <c r="H28" s="11">
        <f>Accuracy!G28</f>
        <v>1668</v>
      </c>
      <c r="I28" s="11">
        <v>17544</v>
      </c>
      <c r="J28">
        <f t="shared" si="0"/>
        <v>2845</v>
      </c>
      <c r="K28">
        <f t="shared" si="1"/>
        <v>2845</v>
      </c>
      <c r="L28">
        <f t="shared" si="2"/>
        <v>11703</v>
      </c>
      <c r="M28">
        <f t="shared" si="3"/>
        <v>2845</v>
      </c>
      <c r="N28">
        <f t="shared" si="4"/>
        <v>13121.6973965864</v>
      </c>
      <c r="O28">
        <f t="shared" si="5"/>
        <v>3740.90583850897</v>
      </c>
      <c r="P28">
        <f t="shared" si="6"/>
        <v>100.940583850897</v>
      </c>
      <c r="Q28" s="22">
        <f t="shared" si="7"/>
        <v>20.9405838508972</v>
      </c>
      <c r="R28" s="23">
        <f t="shared" si="8"/>
        <v>80</v>
      </c>
    </row>
    <row r="29" spans="7:18">
      <c r="G29" s="11">
        <f>Accuracy!F29</f>
        <v>85</v>
      </c>
      <c r="H29" s="11">
        <f>Accuracy!G29</f>
        <v>1451</v>
      </c>
      <c r="I29" s="11">
        <v>17518</v>
      </c>
      <c r="J29">
        <f t="shared" si="0"/>
        <v>2507</v>
      </c>
      <c r="K29">
        <f t="shared" si="1"/>
        <v>2507</v>
      </c>
      <c r="L29">
        <f t="shared" si="2"/>
        <v>11703</v>
      </c>
      <c r="M29">
        <f t="shared" si="3"/>
        <v>2507</v>
      </c>
      <c r="N29">
        <f t="shared" si="4"/>
        <v>12569.6416639599</v>
      </c>
      <c r="O29">
        <f t="shared" si="5"/>
        <v>3794.366053224</v>
      </c>
      <c r="P29">
        <f t="shared" si="6"/>
        <v>106.2866053224</v>
      </c>
      <c r="Q29" s="22">
        <f t="shared" si="7"/>
        <v>21.2866053224002</v>
      </c>
      <c r="R29" s="23">
        <f t="shared" si="8"/>
        <v>85</v>
      </c>
    </row>
    <row r="30" spans="7:18">
      <c r="G30" s="11">
        <f>Accuracy!F30</f>
        <v>90</v>
      </c>
      <c r="H30" s="11">
        <f>Accuracy!G30</f>
        <v>1266</v>
      </c>
      <c r="I30" s="11">
        <v>17498</v>
      </c>
      <c r="J30">
        <f t="shared" si="0"/>
        <v>2211</v>
      </c>
      <c r="K30">
        <f t="shared" si="1"/>
        <v>2211</v>
      </c>
      <c r="L30">
        <f t="shared" si="2"/>
        <v>11703</v>
      </c>
      <c r="M30">
        <f t="shared" si="3"/>
        <v>2211</v>
      </c>
      <c r="N30">
        <f t="shared" si="4"/>
        <v>12016.7992282812</v>
      </c>
      <c r="O30">
        <f t="shared" si="5"/>
        <v>3848.26070606987</v>
      </c>
      <c r="P30">
        <f t="shared" si="6"/>
        <v>111.676070606987</v>
      </c>
      <c r="Q30" s="22">
        <f t="shared" si="7"/>
        <v>21.6760706069869</v>
      </c>
      <c r="R30" s="23">
        <f t="shared" si="8"/>
        <v>90</v>
      </c>
    </row>
    <row r="31" spans="7:18">
      <c r="G31" s="11">
        <f>Accuracy!F31</f>
        <v>95</v>
      </c>
      <c r="H31" s="11">
        <f>Accuracy!G31</f>
        <v>1108</v>
      </c>
      <c r="I31" s="11">
        <v>17478</v>
      </c>
      <c r="J31">
        <f t="shared" si="0"/>
        <v>1953</v>
      </c>
      <c r="K31">
        <f t="shared" si="1"/>
        <v>1953</v>
      </c>
      <c r="L31">
        <f t="shared" si="2"/>
        <v>11703</v>
      </c>
      <c r="M31">
        <f t="shared" si="3"/>
        <v>1953</v>
      </c>
      <c r="N31">
        <f t="shared" si="4"/>
        <v>11466.3167551611</v>
      </c>
      <c r="O31">
        <f t="shared" si="5"/>
        <v>3902.30620385859</v>
      </c>
      <c r="P31">
        <f t="shared" si="6"/>
        <v>117.080620385859</v>
      </c>
      <c r="Q31" s="22">
        <f t="shared" si="7"/>
        <v>22.0806203858588</v>
      </c>
      <c r="R31" s="23">
        <f t="shared" si="8"/>
        <v>95</v>
      </c>
    </row>
    <row r="32" spans="7:18">
      <c r="G32" s="11">
        <f>Accuracy!F32</f>
        <v>100</v>
      </c>
      <c r="H32" s="11">
        <f>Accuracy!G32</f>
        <v>973.1</v>
      </c>
      <c r="I32" s="11">
        <v>17457</v>
      </c>
      <c r="J32">
        <f t="shared" si="0"/>
        <v>1730</v>
      </c>
      <c r="K32">
        <f t="shared" si="1"/>
        <v>1730</v>
      </c>
      <c r="L32">
        <f t="shared" si="2"/>
        <v>11703</v>
      </c>
      <c r="M32">
        <f t="shared" si="3"/>
        <v>1730</v>
      </c>
      <c r="N32">
        <f t="shared" si="4"/>
        <v>10924.4680726421</v>
      </c>
      <c r="O32">
        <f t="shared" si="5"/>
        <v>3955.89916272216</v>
      </c>
      <c r="P32">
        <f t="shared" si="6"/>
        <v>122.439916272216</v>
      </c>
      <c r="Q32" s="22">
        <f t="shared" si="7"/>
        <v>22.4399162722156</v>
      </c>
      <c r="R32" s="23">
        <f t="shared" si="8"/>
        <v>100</v>
      </c>
    </row>
    <row r="33" spans="7:18">
      <c r="G33" s="11">
        <f>Accuracy!F33</f>
        <v>105</v>
      </c>
      <c r="H33" s="11">
        <f>Accuracy!G33</f>
        <v>857.2</v>
      </c>
      <c r="I33" s="11">
        <v>17437</v>
      </c>
      <c r="J33">
        <f t="shared" si="0"/>
        <v>1535</v>
      </c>
      <c r="K33">
        <f t="shared" si="1"/>
        <v>1535</v>
      </c>
      <c r="L33">
        <f t="shared" si="2"/>
        <v>11703</v>
      </c>
      <c r="M33">
        <f t="shared" si="3"/>
        <v>1535</v>
      </c>
      <c r="N33">
        <f t="shared" si="4"/>
        <v>10387.1231028048</v>
      </c>
      <c r="O33">
        <f t="shared" si="5"/>
        <v>4009.45699553152</v>
      </c>
      <c r="P33">
        <f t="shared" si="6"/>
        <v>127.795699553152</v>
      </c>
      <c r="Q33" s="22">
        <f t="shared" si="7"/>
        <v>22.795699553152</v>
      </c>
      <c r="R33" s="23">
        <f t="shared" si="8"/>
        <v>105</v>
      </c>
    </row>
    <row r="34" spans="7:18">
      <c r="G34" s="11">
        <f>Accuracy!F34</f>
        <v>110</v>
      </c>
      <c r="H34" s="11">
        <f>Accuracy!G34</f>
        <v>757.6</v>
      </c>
      <c r="I34" s="11">
        <v>17417</v>
      </c>
      <c r="J34">
        <f t="shared" si="0"/>
        <v>1366</v>
      </c>
      <c r="K34">
        <f t="shared" si="1"/>
        <v>1366</v>
      </c>
      <c r="L34">
        <f t="shared" si="2"/>
        <v>11703</v>
      </c>
      <c r="M34">
        <f t="shared" si="3"/>
        <v>1366</v>
      </c>
      <c r="N34">
        <f t="shared" si="4"/>
        <v>9861.58122023781</v>
      </c>
      <c r="O34">
        <f t="shared" si="5"/>
        <v>4062.25566275332</v>
      </c>
      <c r="P34">
        <f t="shared" si="6"/>
        <v>133.075566275332</v>
      </c>
      <c r="Q34" s="22">
        <f t="shared" si="7"/>
        <v>23.0755662753323</v>
      </c>
      <c r="R34" s="23">
        <f t="shared" si="8"/>
        <v>110</v>
      </c>
    </row>
    <row r="35" spans="7:18">
      <c r="G35" s="11">
        <f>Accuracy!F35</f>
        <v>115</v>
      </c>
      <c r="H35" s="11">
        <f>Accuracy!G35</f>
        <v>0</v>
      </c>
      <c r="I35" s="11"/>
      <c r="J35" t="e">
        <f t="shared" si="0"/>
        <v>#DIV/0!</v>
      </c>
      <c r="K35" t="e">
        <f t="shared" si="1"/>
        <v>#DIV/0!</v>
      </c>
      <c r="L35" t="e">
        <f t="shared" si="2"/>
        <v>#DIV/0!</v>
      </c>
      <c r="M35" t="e">
        <f t="shared" si="3"/>
        <v>#DIV/0!</v>
      </c>
      <c r="N35" t="e">
        <f t="shared" si="4"/>
        <v>#DIV/0!</v>
      </c>
      <c r="O35" t="e">
        <f t="shared" si="5"/>
        <v>#DIV/0!</v>
      </c>
      <c r="P35" t="e">
        <f t="shared" si="6"/>
        <v>#DIV/0!</v>
      </c>
      <c r="Q35" s="23" t="e">
        <f t="shared" si="7"/>
        <v>#DIV/0!</v>
      </c>
      <c r="R35" s="23">
        <f t="shared" si="8"/>
        <v>115</v>
      </c>
    </row>
    <row r="36" spans="7:18">
      <c r="G36" s="11">
        <f>Accuracy!F36</f>
        <v>0</v>
      </c>
      <c r="H36" s="11">
        <f>Accuracy!G36</f>
        <v>0</v>
      </c>
      <c r="I36" s="11"/>
      <c r="J36" t="e">
        <f t="shared" si="0"/>
        <v>#DIV/0!</v>
      </c>
      <c r="K36" t="e">
        <f t="shared" si="1"/>
        <v>#DIV/0!</v>
      </c>
      <c r="L36" t="e">
        <f t="shared" si="2"/>
        <v>#DIV/0!</v>
      </c>
      <c r="M36" t="e">
        <f t="shared" si="3"/>
        <v>#DIV/0!</v>
      </c>
      <c r="N36" t="e">
        <f t="shared" si="4"/>
        <v>#DIV/0!</v>
      </c>
      <c r="O36" t="e">
        <f t="shared" si="5"/>
        <v>#DIV/0!</v>
      </c>
      <c r="P36" t="e">
        <f t="shared" si="6"/>
        <v>#DIV/0!</v>
      </c>
      <c r="Q36" s="23" t="e">
        <f t="shared" si="7"/>
        <v>#DIV/0!</v>
      </c>
      <c r="R36" s="23">
        <f t="shared" si="8"/>
        <v>0</v>
      </c>
    </row>
    <row r="37" spans="7:18">
      <c r="G37" s="11">
        <f>Accuracy!F37</f>
        <v>0</v>
      </c>
      <c r="H37" s="11">
        <f>Accuracy!G37</f>
        <v>0</v>
      </c>
      <c r="I37" s="11"/>
      <c r="J37" t="e">
        <f t="shared" si="0"/>
        <v>#DIV/0!</v>
      </c>
      <c r="K37" t="e">
        <f t="shared" si="1"/>
        <v>#DIV/0!</v>
      </c>
      <c r="L37" t="e">
        <f t="shared" si="2"/>
        <v>#DIV/0!</v>
      </c>
      <c r="M37" t="e">
        <f t="shared" si="3"/>
        <v>#DIV/0!</v>
      </c>
      <c r="N37" t="e">
        <f t="shared" si="4"/>
        <v>#DIV/0!</v>
      </c>
      <c r="O37" t="e">
        <f t="shared" si="5"/>
        <v>#DIV/0!</v>
      </c>
      <c r="P37" t="e">
        <f t="shared" si="6"/>
        <v>#DIV/0!</v>
      </c>
      <c r="Q37" s="23" t="e">
        <f t="shared" si="7"/>
        <v>#DIV/0!</v>
      </c>
      <c r="R37" s="23">
        <f t="shared" si="8"/>
        <v>0</v>
      </c>
    </row>
    <row r="38" spans="7:18">
      <c r="G38" s="11">
        <f>Accuracy!F38</f>
        <v>0</v>
      </c>
      <c r="H38" s="11">
        <f>Accuracy!G38</f>
        <v>0</v>
      </c>
      <c r="I38" s="11"/>
      <c r="J38" t="e">
        <f t="shared" si="0"/>
        <v>#DIV/0!</v>
      </c>
      <c r="K38" t="e">
        <f t="shared" si="1"/>
        <v>#DIV/0!</v>
      </c>
      <c r="L38" t="e">
        <f t="shared" si="2"/>
        <v>#DIV/0!</v>
      </c>
      <c r="M38" t="e">
        <f t="shared" si="3"/>
        <v>#DIV/0!</v>
      </c>
      <c r="N38" t="e">
        <f t="shared" si="4"/>
        <v>#DIV/0!</v>
      </c>
      <c r="O38" t="e">
        <f t="shared" si="5"/>
        <v>#DIV/0!</v>
      </c>
      <c r="P38" t="e">
        <f t="shared" si="6"/>
        <v>#DIV/0!</v>
      </c>
      <c r="Q38" s="23" t="e">
        <f t="shared" si="7"/>
        <v>#DIV/0!</v>
      </c>
      <c r="R38" s="23">
        <f t="shared" si="8"/>
        <v>0</v>
      </c>
    </row>
    <row r="39" spans="7:18">
      <c r="G39" s="11">
        <f>Accuracy!F39</f>
        <v>0</v>
      </c>
      <c r="H39" s="11">
        <f>Accuracy!G39</f>
        <v>0</v>
      </c>
      <c r="I39" s="11"/>
      <c r="J39" t="e">
        <f t="shared" si="0"/>
        <v>#DIV/0!</v>
      </c>
      <c r="K39" t="e">
        <f t="shared" si="1"/>
        <v>#DIV/0!</v>
      </c>
      <c r="L39" t="e">
        <f t="shared" si="2"/>
        <v>#DIV/0!</v>
      </c>
      <c r="M39" t="e">
        <f t="shared" si="3"/>
        <v>#DIV/0!</v>
      </c>
      <c r="N39" t="e">
        <f t="shared" si="4"/>
        <v>#DIV/0!</v>
      </c>
      <c r="O39" t="e">
        <f t="shared" si="5"/>
        <v>#DIV/0!</v>
      </c>
      <c r="P39" t="e">
        <f t="shared" si="6"/>
        <v>#DIV/0!</v>
      </c>
      <c r="Q39" s="23" t="e">
        <f t="shared" si="7"/>
        <v>#DIV/0!</v>
      </c>
      <c r="R39" s="23">
        <f t="shared" si="8"/>
        <v>0</v>
      </c>
    </row>
  </sheetData>
  <mergeCells count="1">
    <mergeCell ref="B14:E15"/>
  </mergeCells>
  <pageMargins left="0.699305555555556" right="0.699305555555556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Texas Instruments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Accuracy</vt:lpstr>
      <vt:lpstr>Thermistor</vt:lpstr>
      <vt:lpstr>Resistor Network</vt:lpstr>
      <vt:lpstr>Digital</vt:lpstr>
      <vt:lpstr>best fit</vt:lpstr>
      <vt:lpstr>Thermistor Database</vt:lpstr>
      <vt:lpstr>Sheet1</vt:lpstr>
      <vt:lpstr>What If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a0797214</dc:creator>
  <cp:lastModifiedBy>Thomas Cosby</cp:lastModifiedBy>
  <dcterms:created xsi:type="dcterms:W3CDTF">2008-01-21T19:57:00Z</dcterms:created>
  <cp:lastPrinted>2008-10-01T16:59:00Z</cp:lastPrinted>
  <dcterms:modified xsi:type="dcterms:W3CDTF">2016-01-04T02:58:51Z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