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embeddings/oleObject2.bin" ContentType="application/vnd.openxmlformats-officedocument.oleObject"/>
  <Override PartName="/xl/comments5.xml" ContentType="application/vnd.openxmlformats-officedocument.spreadsheetml.comments+xml"/>
  <Override PartName="/xl/drawings/drawing9.xml" ContentType="application/vnd.openxmlformats-officedocument.drawing+xml"/>
  <Override PartName="/xl/embeddings/oleObject3.bin" ContentType="application/vnd.openxmlformats-officedocument.oleObject"/>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0412182\Documents\Projects\SSP_Projects\LDC\Documents\LDC_tools\"/>
    </mc:Choice>
  </mc:AlternateContent>
  <bookViews>
    <workbookView xWindow="-50" yWindow="-60" windowWidth="4490" windowHeight="3980" tabRatio="888"/>
  </bookViews>
  <sheets>
    <sheet name="Contents" sheetId="11" r:id="rId1"/>
    <sheet name="Spiral_Inductor_Designer" sheetId="27" r:id="rId2"/>
    <sheet name="LDC2114_Config_tool" sheetId="34" r:id="rId3"/>
    <sheet name="LDC0851_calc" sheetId="26" r:id="rId4"/>
    <sheet name="LDC1101_Calc" sheetId="33" r:id="rId5"/>
    <sheet name="Output Code Calculator" sheetId="13" r:id="rId6"/>
    <sheet name="SkinDepth" sheetId="14" r:id="rId7"/>
    <sheet name="SampleRateCalc" sheetId="18" r:id="rId8"/>
    <sheet name="LDC13-16_SensorSetup" sheetId="24" r:id="rId9"/>
    <sheet name="LDC131x_Current" sheetId="16" r:id="rId10"/>
    <sheet name="Spring Sensor" sheetId="9" r:id="rId11"/>
    <sheet name="Remote Coil Length" sheetId="1" r:id="rId12"/>
    <sheet name="Metal_Deflection" sheetId="31" r:id="rId13"/>
  </sheets>
  <definedNames>
    <definedName name="abr_units" localSheetId="12">Metal_Deflection!$F$9</definedName>
    <definedName name="ac" localSheetId="4">#REF!</definedName>
    <definedName name="ac" localSheetId="2">#REF!</definedName>
    <definedName name="ac" localSheetId="12">Metal_Deflection!$E$25</definedName>
    <definedName name="ac">#REF!</definedName>
    <definedName name="alphac" localSheetId="4">#REF!</definedName>
    <definedName name="alphac" localSheetId="2">#REF!</definedName>
    <definedName name="alphac" localSheetId="12">Metal_Deflection!#REF!</definedName>
    <definedName name="alphac">#REF!</definedName>
    <definedName name="alphap" localSheetId="12">Metal_Deflection!$E$35</definedName>
    <definedName name="alphar" localSheetId="4">#REF!</definedName>
    <definedName name="alphar" localSheetId="2">#REF!</definedName>
    <definedName name="alphar" localSheetId="12">Metal_Deflection!#REF!</definedName>
    <definedName name="alphar">#REF!</definedName>
    <definedName name="alphau" localSheetId="12">Metal_Deflection!$E$34</definedName>
    <definedName name="ar" localSheetId="4">#REF!</definedName>
    <definedName name="ar" localSheetId="2">#REF!</definedName>
    <definedName name="ar" localSheetId="12">Metal_Deflection!$E$26</definedName>
    <definedName name="ar">#REF!</definedName>
    <definedName name="area" localSheetId="4">#REF!</definedName>
    <definedName name="area" localSheetId="2">#REF!</definedName>
    <definedName name="area" localSheetId="12">Metal_Deflection!$E$32</definedName>
    <definedName name="area">#REF!</definedName>
    <definedName name="area_c" localSheetId="12">Metal_Deflection!$E$30</definedName>
    <definedName name="area_r" localSheetId="12">Metal_Deflection!$E$31</definedName>
    <definedName name="boa" localSheetId="4">#REF!</definedName>
    <definedName name="boa" localSheetId="2">#REF!</definedName>
    <definedName name="boa" localSheetId="12">Metal_Deflection!$E$28</definedName>
    <definedName name="boa">#REF!</definedName>
    <definedName name="br" localSheetId="4">#REF!</definedName>
    <definedName name="br" localSheetId="2">#REF!</definedName>
    <definedName name="br" localSheetId="12">Metal_Deflection!$E$27</definedName>
    <definedName name="br">#REF!</definedName>
    <definedName name="button_materials" localSheetId="4">#REF!</definedName>
    <definedName name="button_materials" localSheetId="2">#REF!</definedName>
    <definedName name="button_materials">#REF!</definedName>
    <definedName name="button_shapes" localSheetId="4">#REF!</definedName>
    <definedName name="button_shapes" localSheetId="2">#REF!</definedName>
    <definedName name="button_shapes">#REF!</definedName>
    <definedName name="CMAX" localSheetId="4">#REF!</definedName>
    <definedName name="CMAX" localSheetId="8">#REF!</definedName>
    <definedName name="CMAX" localSheetId="9">#REF!</definedName>
    <definedName name="CMAX" localSheetId="2">#REF!</definedName>
    <definedName name="CMAX">#REF!</definedName>
    <definedName name="CMIN" localSheetId="4">#REF!</definedName>
    <definedName name="CMIN" localSheetId="8">#REF!</definedName>
    <definedName name="CMIN" localSheetId="9">#REF!</definedName>
    <definedName name="CMIN" localSheetId="2">#REF!</definedName>
    <definedName name="CMIN">#REF!</definedName>
    <definedName name="D" localSheetId="12">Metal_Deflection!$E$33</definedName>
    <definedName name="Dc_units" localSheetId="12">Metal_Deflection!$F$8</definedName>
    <definedName name="E" localSheetId="4">#REF!</definedName>
    <definedName name="E" localSheetId="2">#REF!</definedName>
    <definedName name="E" localSheetId="12">Metal_Deflection!$E$36</definedName>
    <definedName name="E">#REF!</definedName>
    <definedName name="F" localSheetId="12">Metal_Deflection!$E$37</definedName>
    <definedName name="force" localSheetId="12">Metal_Deflection!$E$21</definedName>
    <definedName name="force_functions" localSheetId="4">#REF!</definedName>
    <definedName name="force_functions" localSheetId="2">#REF!</definedName>
    <definedName name="force_functions" localSheetId="12">Metal_Deflection!#REF!</definedName>
    <definedName name="force_functions">#REF!</definedName>
    <definedName name="h" localSheetId="4">#REF!</definedName>
    <definedName name="h" localSheetId="2">#REF!</definedName>
    <definedName name="h" localSheetId="12">Metal_Deflection!$E$29</definedName>
    <definedName name="h">#REF!</definedName>
    <definedName name="h_units" localSheetId="12">Metal_Deflection!$F$11</definedName>
    <definedName name="length_units" localSheetId="12">Metal_Deflection!#REF!</definedName>
    <definedName name="mat" localSheetId="12">Metal_Deflection!$E$12</definedName>
    <definedName name="Mega" localSheetId="4">LDC1101_Calc!$C$50</definedName>
    <definedName name="Mega" localSheetId="8">#REF!</definedName>
    <definedName name="Mega" localSheetId="2">#REF!</definedName>
    <definedName name="Mega" localSheetId="1">#REF!</definedName>
    <definedName name="Mega">#REF!</definedName>
    <definedName name="micro" localSheetId="4">LDC1101_Calc!$C$49</definedName>
    <definedName name="micro" localSheetId="8">#REF!</definedName>
    <definedName name="micro" localSheetId="2">#REF!</definedName>
    <definedName name="micro">#REF!</definedName>
    <definedName name="N" localSheetId="4">#REF!</definedName>
    <definedName name="N" localSheetId="8">#REF!</definedName>
    <definedName name="N" localSheetId="2">#REF!</definedName>
    <definedName name="N">#REF!</definedName>
    <definedName name="nu" localSheetId="4">#REF!</definedName>
    <definedName name="nu" localSheetId="2">#REF!</definedName>
    <definedName name="nu" localSheetId="12">Metal_Deflection!$E$14</definedName>
    <definedName name="nu">#REF!</definedName>
    <definedName name="pico" localSheetId="4">LDC1101_Calc!$C$48</definedName>
    <definedName name="pico" localSheetId="8">#REF!</definedName>
    <definedName name="pico" localSheetId="2">#REF!</definedName>
    <definedName name="pico" localSheetId="1">#REF!</definedName>
    <definedName name="pico">#REF!</definedName>
    <definedName name="q" localSheetId="12">Metal_Deflection!$E$38</definedName>
    <definedName name="shape" localSheetId="12">Metal_Deflection!$E$7</definedName>
    <definedName name="solver_adj" localSheetId="3" hidden="1">LDC0851_calc!$C$25</definedName>
    <definedName name="solver_adj" localSheetId="1" hidden="1">Spiral_Inductor_Designer!$D$24</definedName>
    <definedName name="solver_cvg" localSheetId="3" hidden="1">0.0001</definedName>
    <definedName name="solver_cvg" localSheetId="1" hidden="1">0.0001</definedName>
    <definedName name="solver_drv" localSheetId="3" hidden="1">1</definedName>
    <definedName name="solver_drv" localSheetId="1" hidden="1">1</definedName>
    <definedName name="solver_eng" localSheetId="3" hidden="1">1</definedName>
    <definedName name="solver_eng" localSheetId="1" hidden="1">1</definedName>
    <definedName name="solver_est" localSheetId="3" hidden="1">1</definedName>
    <definedName name="solver_est" localSheetId="1" hidden="1">1</definedName>
    <definedName name="solver_itr" localSheetId="3" hidden="1">2147483647</definedName>
    <definedName name="solver_itr" localSheetId="1" hidden="1">2147483647</definedName>
    <definedName name="solver_mip" localSheetId="3" hidden="1">2147483647</definedName>
    <definedName name="solver_mip" localSheetId="1" hidden="1">2147483647</definedName>
    <definedName name="solver_mni" localSheetId="3" hidden="1">30</definedName>
    <definedName name="solver_mni" localSheetId="1" hidden="1">30</definedName>
    <definedName name="solver_mrt" localSheetId="3" hidden="1">0.075</definedName>
    <definedName name="solver_mrt" localSheetId="1" hidden="1">0.075</definedName>
    <definedName name="solver_msl" localSheetId="3" hidden="1">2</definedName>
    <definedName name="solver_msl" localSheetId="1" hidden="1">2</definedName>
    <definedName name="solver_neg" localSheetId="3" hidden="1">1</definedName>
    <definedName name="solver_neg" localSheetId="1" hidden="1">1</definedName>
    <definedName name="solver_nod" localSheetId="3" hidden="1">2147483647</definedName>
    <definedName name="solver_nod" localSheetId="1" hidden="1">2147483647</definedName>
    <definedName name="solver_num" localSheetId="3" hidden="1">0</definedName>
    <definedName name="solver_num" localSheetId="1" hidden="1">0</definedName>
    <definedName name="solver_nwt" localSheetId="3" hidden="1">1</definedName>
    <definedName name="solver_nwt" localSheetId="1" hidden="1">1</definedName>
    <definedName name="solver_opt" localSheetId="3" hidden="1">LDC0851_calc!$C$30</definedName>
    <definedName name="solver_opt" localSheetId="1" hidden="1">Spiral_Inductor_Designer!$D$59</definedName>
    <definedName name="solver_pre" localSheetId="3" hidden="1">0.000001</definedName>
    <definedName name="solver_pre" localSheetId="1" hidden="1">0.000001</definedName>
    <definedName name="solver_rbv" localSheetId="3" hidden="1">1</definedName>
    <definedName name="solver_rbv" localSheetId="1" hidden="1">1</definedName>
    <definedName name="solver_rlx" localSheetId="3" hidden="1">2</definedName>
    <definedName name="solver_rlx" localSheetId="1" hidden="1">2</definedName>
    <definedName name="solver_rsd" localSheetId="3" hidden="1">0</definedName>
    <definedName name="solver_rsd" localSheetId="1" hidden="1">0</definedName>
    <definedName name="solver_scl" localSheetId="3" hidden="1">1</definedName>
    <definedName name="solver_scl" localSheetId="1" hidden="1">1</definedName>
    <definedName name="solver_sho" localSheetId="3" hidden="1">2</definedName>
    <definedName name="solver_sho" localSheetId="1" hidden="1">2</definedName>
    <definedName name="solver_ssz" localSheetId="3" hidden="1">100</definedName>
    <definedName name="solver_ssz" localSheetId="1" hidden="1">100</definedName>
    <definedName name="solver_tim" localSheetId="3" hidden="1">2147483647</definedName>
    <definedName name="solver_tim" localSheetId="1" hidden="1">2147483647</definedName>
    <definedName name="solver_tol" localSheetId="3" hidden="1">0.01</definedName>
    <definedName name="solver_tol" localSheetId="1" hidden="1">0.01</definedName>
    <definedName name="solver_typ" localSheetId="3" hidden="1">3</definedName>
    <definedName name="solver_typ" localSheetId="1" hidden="1">1</definedName>
    <definedName name="solver_val" localSheetId="3" hidden="1">2.09</definedName>
    <definedName name="solver_val" localSheetId="1" hidden="1">0</definedName>
    <definedName name="solver_ver" localSheetId="3" hidden="1">3</definedName>
    <definedName name="solver_ver" localSheetId="1" hidden="1">3</definedName>
    <definedName name="wpkcp" localSheetId="12">Metal_Deflection!$E$40</definedName>
    <definedName name="wpkcu" localSheetId="12">Metal_Deflection!$E$39</definedName>
    <definedName name="wpkrp" localSheetId="12">Metal_Deflection!$E$42</definedName>
    <definedName name="wpkru" localSheetId="12">Metal_Deflection!$E$41</definedName>
  </definedNames>
  <calcPr calcId="152511"/>
</workbook>
</file>

<file path=xl/calcChain.xml><?xml version="1.0" encoding="utf-8"?>
<calcChain xmlns="http://schemas.openxmlformats.org/spreadsheetml/2006/main">
  <c r="D98" i="33" l="1"/>
  <c r="D14" i="33" l="1"/>
  <c r="D13" i="33"/>
  <c r="D15" i="33" l="1"/>
  <c r="D16" i="33" s="1"/>
  <c r="C24" i="34" l="1"/>
  <c r="C27" i="34" l="1"/>
  <c r="Q71" i="34" l="1"/>
  <c r="O71" i="34"/>
  <c r="U70" i="34"/>
  <c r="U71" i="34" s="1"/>
  <c r="T70" i="34"/>
  <c r="T71" i="34" s="1"/>
  <c r="S70" i="34"/>
  <c r="S71" i="34" s="1"/>
  <c r="Q70" i="34"/>
  <c r="O70" i="34"/>
  <c r="C65" i="34"/>
  <c r="C64" i="34"/>
  <c r="D63" i="34"/>
  <c r="C63" i="34"/>
  <c r="D62" i="34"/>
  <c r="B62" i="34"/>
  <c r="C50" i="34"/>
  <c r="C49" i="34"/>
  <c r="I27" i="34"/>
  <c r="G27" i="34"/>
  <c r="E27" i="34"/>
  <c r="I19" i="34"/>
  <c r="I20" i="34" s="1"/>
  <c r="I21" i="34" s="1"/>
  <c r="G19" i="34"/>
  <c r="G22" i="34" s="1"/>
  <c r="G23" i="34" s="1"/>
  <c r="E19" i="34"/>
  <c r="E20" i="34" s="1"/>
  <c r="E21" i="34" s="1"/>
  <c r="C19" i="34"/>
  <c r="C22" i="34" s="1"/>
  <c r="C23" i="34" s="1"/>
  <c r="I18" i="34"/>
  <c r="G18" i="34"/>
  <c r="E18" i="34"/>
  <c r="C18" i="34"/>
  <c r="I14" i="34"/>
  <c r="I17" i="34" s="1"/>
  <c r="G14" i="34"/>
  <c r="G17" i="34" s="1"/>
  <c r="E14" i="34"/>
  <c r="E17" i="34" s="1"/>
  <c r="C14" i="34"/>
  <c r="C17" i="34" s="1"/>
  <c r="I12" i="34"/>
  <c r="G12" i="34"/>
  <c r="E12" i="34"/>
  <c r="C12" i="34"/>
  <c r="I11" i="34"/>
  <c r="G11" i="34"/>
  <c r="E11" i="34"/>
  <c r="C11" i="34"/>
  <c r="I10" i="34"/>
  <c r="G10" i="34"/>
  <c r="E10" i="34"/>
  <c r="C10" i="34"/>
  <c r="J7" i="34"/>
  <c r="C53" i="34" l="1"/>
  <c r="C54" i="34" s="1"/>
  <c r="I22" i="34"/>
  <c r="I23" i="34" s="1"/>
  <c r="I25" i="34" s="1"/>
  <c r="I26" i="34" s="1"/>
  <c r="G53" i="34"/>
  <c r="C56" i="34" s="1"/>
  <c r="E22" i="34"/>
  <c r="E23" i="34" s="1"/>
  <c r="E25" i="34" s="1"/>
  <c r="E26" i="34" s="1"/>
  <c r="C41" i="34"/>
  <c r="C38" i="34"/>
  <c r="C39" i="34"/>
  <c r="J8" i="34"/>
  <c r="C42" i="34"/>
  <c r="G20" i="34"/>
  <c r="C20" i="34"/>
  <c r="C21" i="34" s="1"/>
  <c r="G24" i="34" l="1"/>
  <c r="G21" i="34"/>
  <c r="J21" i="34" s="1"/>
  <c r="I24" i="34"/>
  <c r="I28" i="34" s="1"/>
  <c r="I53" i="34"/>
  <c r="C57" i="34" s="1"/>
  <c r="E24" i="34"/>
  <c r="E28" i="34" s="1"/>
  <c r="E53" i="34"/>
  <c r="C55" i="34" s="1"/>
  <c r="C48" i="34"/>
  <c r="C28" i="34"/>
  <c r="C51" i="34"/>
  <c r="C25" i="34"/>
  <c r="C26" i="34" s="1"/>
  <c r="G25" i="34"/>
  <c r="G26" i="34" s="1"/>
  <c r="G28" i="34" l="1"/>
  <c r="G29" i="34" s="1"/>
  <c r="K21" i="34"/>
  <c r="J20" i="34" s="1"/>
  <c r="R70" i="34"/>
  <c r="R71" i="34" s="1"/>
  <c r="I29" i="34"/>
  <c r="I30" i="34"/>
  <c r="P70" i="34"/>
  <c r="P71" i="34" s="1"/>
  <c r="C52" i="34"/>
  <c r="C31" i="34"/>
  <c r="C32" i="34" s="1"/>
  <c r="N70" i="34"/>
  <c r="N71" i="34" s="1"/>
  <c r="C34" i="34"/>
  <c r="K24" i="34" s="1"/>
  <c r="G30" i="34" l="1"/>
  <c r="C35" i="34"/>
  <c r="E30" i="34"/>
  <c r="E29" i="34"/>
  <c r="C30" i="34"/>
  <c r="C29" i="34"/>
  <c r="C33" i="34" l="1"/>
  <c r="C44" i="34" s="1"/>
  <c r="C36" i="34"/>
  <c r="C45" i="34" s="1"/>
  <c r="E17" i="11" l="1"/>
  <c r="D146" i="33"/>
  <c r="C145" i="33"/>
  <c r="D143" i="33"/>
  <c r="D142" i="33"/>
  <c r="D139" i="33"/>
  <c r="D138" i="33"/>
  <c r="D136" i="33"/>
  <c r="D137" i="33" s="1"/>
  <c r="D135" i="33"/>
  <c r="C134" i="33"/>
  <c r="D133" i="33"/>
  <c r="D125" i="33"/>
  <c r="D124" i="33"/>
  <c r="C123" i="33"/>
  <c r="D122" i="33"/>
  <c r="C121" i="33"/>
  <c r="D120" i="33"/>
  <c r="D119" i="33"/>
  <c r="D128" i="33" s="1"/>
  <c r="D114" i="33"/>
  <c r="D113" i="33"/>
  <c r="D106" i="33"/>
  <c r="D107" i="33" s="1"/>
  <c r="D108" i="33" s="1"/>
  <c r="C105" i="33"/>
  <c r="D97" i="33"/>
  <c r="C62" i="33"/>
  <c r="D61" i="33"/>
  <c r="C61" i="33" s="1"/>
  <c r="D56" i="33" s="1"/>
  <c r="D57" i="33"/>
  <c r="D36" i="33" s="1"/>
  <c r="F39" i="33" s="1"/>
  <c r="C57" i="33"/>
  <c r="D10" i="33" s="1"/>
  <c r="D40" i="33"/>
  <c r="F40" i="33" s="1"/>
  <c r="D39" i="33"/>
  <c r="D38" i="33"/>
  <c r="D34" i="33"/>
  <c r="F34" i="33" s="1"/>
  <c r="F33" i="33"/>
  <c r="D33" i="33"/>
  <c r="D28" i="33"/>
  <c r="F28" i="33" s="1"/>
  <c r="D27" i="33"/>
  <c r="F27" i="33" s="1"/>
  <c r="D22" i="33"/>
  <c r="K7" i="33" s="1"/>
  <c r="C21" i="33"/>
  <c r="D8" i="33"/>
  <c r="F7" i="33"/>
  <c r="F6" i="33"/>
  <c r="F105" i="33" l="1"/>
  <c r="D140" i="33"/>
  <c r="D141" i="33" s="1"/>
  <c r="D147" i="33"/>
  <c r="D17" i="33"/>
  <c r="C63" i="33"/>
  <c r="F20" i="33" s="1"/>
  <c r="C9" i="33"/>
  <c r="D44" i="33"/>
  <c r="F44" i="33" s="1"/>
  <c r="D24" i="33"/>
  <c r="D25" i="33" s="1"/>
  <c r="D23" i="33"/>
  <c r="F21" i="33"/>
  <c r="D110" i="33"/>
  <c r="D112" i="33" s="1"/>
  <c r="K12" i="33"/>
  <c r="D109" i="33"/>
  <c r="K11" i="33" s="1"/>
  <c r="D29" i="33"/>
  <c r="K9" i="33" s="1"/>
  <c r="D43" i="33"/>
  <c r="F43" i="33" s="1"/>
  <c r="C56" i="33"/>
  <c r="D63" i="33"/>
  <c r="F38" i="33" s="1"/>
  <c r="D103" i="33"/>
  <c r="D104" i="33" s="1"/>
  <c r="F8" i="33"/>
  <c r="D100" i="33" l="1"/>
  <c r="D101" i="33" s="1"/>
  <c r="D102" i="33" s="1"/>
  <c r="K10" i="33"/>
  <c r="D41" i="33"/>
  <c r="F41" i="33" s="1"/>
  <c r="F24" i="33"/>
  <c r="D42" i="33"/>
  <c r="F42" i="33" s="1"/>
  <c r="F25" i="33"/>
  <c r="D26" i="33"/>
  <c r="K8" i="33" s="1"/>
  <c r="D115" i="33"/>
  <c r="D116" i="33" s="1"/>
  <c r="E115" i="33"/>
  <c r="E116" i="33" s="1"/>
  <c r="F23" i="33"/>
  <c r="F99" i="33" l="1"/>
  <c r="K17" i="33"/>
  <c r="D126" i="33"/>
  <c r="D127" i="33" s="1"/>
  <c r="C13" i="26"/>
  <c r="E13" i="26" s="1"/>
  <c r="F127" i="33" l="1"/>
  <c r="D129" i="33"/>
  <c r="D130" i="33" s="1"/>
  <c r="C9" i="18" l="1"/>
  <c r="E20" i="11"/>
  <c r="C95" i="31"/>
  <c r="F94" i="31"/>
  <c r="G94" i="31" s="1"/>
  <c r="E94" i="31"/>
  <c r="D94" i="31"/>
  <c r="H93" i="31"/>
  <c r="E37" i="31"/>
  <c r="E29" i="31"/>
  <c r="E27" i="31"/>
  <c r="E26" i="31"/>
  <c r="E25" i="31"/>
  <c r="E14" i="31"/>
  <c r="E18" i="31" s="1"/>
  <c r="E13" i="31"/>
  <c r="E17" i="31" s="1"/>
  <c r="E36" i="31" s="1"/>
  <c r="E31" i="31" l="1"/>
  <c r="E32" i="31" s="1"/>
  <c r="E38" i="31" s="1"/>
  <c r="F95" i="31"/>
  <c r="F96" i="31" s="1"/>
  <c r="F97" i="31" s="1"/>
  <c r="E30" i="31"/>
  <c r="E33" i="31"/>
  <c r="C96" i="31"/>
  <c r="E95" i="31"/>
  <c r="D95" i="31"/>
  <c r="E28" i="31"/>
  <c r="G95" i="31" l="1"/>
  <c r="E39" i="31"/>
  <c r="E35" i="31"/>
  <c r="E34" i="31"/>
  <c r="E96" i="31"/>
  <c r="D96" i="31"/>
  <c r="C97" i="31"/>
  <c r="G96" i="31"/>
  <c r="F98" i="31"/>
  <c r="C98" i="31" l="1"/>
  <c r="E97" i="31"/>
  <c r="D97" i="31"/>
  <c r="F99" i="31"/>
  <c r="G98" i="31"/>
  <c r="E42" i="31"/>
  <c r="E40" i="31"/>
  <c r="E43" i="31"/>
  <c r="G97" i="31"/>
  <c r="E41" i="31"/>
  <c r="E44" i="31" l="1"/>
  <c r="F100" i="31"/>
  <c r="G99" i="31"/>
  <c r="C99" i="31"/>
  <c r="E98" i="31"/>
  <c r="D98" i="31"/>
  <c r="E45" i="31" l="1"/>
  <c r="F101" i="31"/>
  <c r="G100" i="31"/>
  <c r="E99" i="31"/>
  <c r="C100" i="31"/>
  <c r="D99" i="31"/>
  <c r="H99" i="31" l="1"/>
  <c r="E47" i="31"/>
  <c r="H94" i="31"/>
  <c r="H95" i="31"/>
  <c r="H96" i="31"/>
  <c r="H97" i="31"/>
  <c r="H98" i="31"/>
  <c r="D100" i="31"/>
  <c r="E100" i="31"/>
  <c r="H100" i="31" s="1"/>
  <c r="C101" i="31"/>
  <c r="F102" i="31"/>
  <c r="C102" i="31" l="1"/>
  <c r="D101" i="31"/>
  <c r="E101" i="31"/>
  <c r="H101" i="31" s="1"/>
  <c r="E46" i="31"/>
  <c r="G101" i="31"/>
  <c r="F103" i="31"/>
  <c r="D102" i="31" l="1"/>
  <c r="C103" i="31"/>
  <c r="E102" i="31"/>
  <c r="H102" i="31" s="1"/>
  <c r="G102" i="31"/>
  <c r="F104" i="31"/>
  <c r="G103" i="31"/>
  <c r="F105" i="31" l="1"/>
  <c r="G104" i="31"/>
  <c r="C104" i="31"/>
  <c r="E103" i="31"/>
  <c r="H103" i="31" s="1"/>
  <c r="D103" i="31"/>
  <c r="F106" i="31" l="1"/>
  <c r="G105" i="31"/>
  <c r="D104" i="31"/>
  <c r="E104" i="31"/>
  <c r="H104" i="31" s="1"/>
  <c r="C105" i="31"/>
  <c r="E105" i="31" l="1"/>
  <c r="H105" i="31" s="1"/>
  <c r="C106" i="31"/>
  <c r="G106" i="31" s="1"/>
  <c r="D105" i="31"/>
  <c r="F107" i="31"/>
  <c r="F108" i="31" l="1"/>
  <c r="D106" i="31"/>
  <c r="E106" i="31"/>
  <c r="H106" i="31" s="1"/>
  <c r="C107" i="31"/>
  <c r="F109" i="31" l="1"/>
  <c r="G108" i="31"/>
  <c r="E107" i="31"/>
  <c r="H107" i="31" s="1"/>
  <c r="C108" i="31"/>
  <c r="D107" i="31"/>
  <c r="G107" i="31"/>
  <c r="F110" i="31" l="1"/>
  <c r="D108" i="31"/>
  <c r="E108" i="31"/>
  <c r="H108" i="31" s="1"/>
  <c r="C109" i="31"/>
  <c r="F111" i="31" l="1"/>
  <c r="G110" i="31"/>
  <c r="C110" i="31"/>
  <c r="D109" i="31"/>
  <c r="E109" i="31"/>
  <c r="H109" i="31" s="1"/>
  <c r="G109" i="31"/>
  <c r="E9" i="11"/>
  <c r="E19" i="11"/>
  <c r="G111" i="31" l="1"/>
  <c r="F112" i="31"/>
  <c r="D110" i="31"/>
  <c r="C111" i="31"/>
  <c r="E110" i="31"/>
  <c r="H110" i="31" s="1"/>
  <c r="F113" i="31" l="1"/>
  <c r="G112" i="31"/>
  <c r="E111" i="31"/>
  <c r="H111" i="31" s="1"/>
  <c r="D111" i="31"/>
  <c r="C112" i="31"/>
  <c r="D112" i="31" l="1"/>
  <c r="C113" i="31"/>
  <c r="E112" i="31"/>
  <c r="H112" i="31" s="1"/>
  <c r="F114" i="31"/>
  <c r="E113" i="31" l="1"/>
  <c r="H113" i="31" s="1"/>
  <c r="D113" i="31"/>
  <c r="C114" i="31"/>
  <c r="G113" i="31"/>
  <c r="F115" i="31"/>
  <c r="G114" i="31"/>
  <c r="D53" i="9"/>
  <c r="D52" i="9"/>
  <c r="D50" i="9"/>
  <c r="F116" i="31" l="1"/>
  <c r="G115" i="31"/>
  <c r="D114" i="31"/>
  <c r="E114" i="31"/>
  <c r="H114" i="31" s="1"/>
  <c r="C115" i="31"/>
  <c r="C40" i="18"/>
  <c r="E115" i="31" l="1"/>
  <c r="H115" i="31" s="1"/>
  <c r="C116" i="31"/>
  <c r="D115" i="31"/>
  <c r="F117" i="31"/>
  <c r="E83" i="27"/>
  <c r="D116" i="31" l="1"/>
  <c r="E116" i="31"/>
  <c r="H116" i="31" s="1"/>
  <c r="C117" i="31"/>
  <c r="G116" i="31"/>
  <c r="G117" i="31"/>
  <c r="F118" i="31"/>
  <c r="F119" i="31" l="1"/>
  <c r="G118" i="31"/>
  <c r="C118" i="31"/>
  <c r="D117" i="31"/>
  <c r="E117" i="31"/>
  <c r="H117" i="31" s="1"/>
  <c r="D118" i="31" l="1"/>
  <c r="C119" i="31"/>
  <c r="E118" i="31"/>
  <c r="H118" i="31" s="1"/>
  <c r="F120" i="31"/>
  <c r="E119" i="31" l="1"/>
  <c r="H119" i="31" s="1"/>
  <c r="C120" i="31"/>
  <c r="D119" i="31"/>
  <c r="F121" i="31"/>
  <c r="G119" i="31"/>
  <c r="F122" i="31" l="1"/>
  <c r="G121" i="31"/>
  <c r="D120" i="31"/>
  <c r="E120" i="31"/>
  <c r="H120" i="31" s="1"/>
  <c r="C121" i="31"/>
  <c r="G120" i="31"/>
  <c r="E121" i="31" l="1"/>
  <c r="H121" i="31" s="1"/>
  <c r="C122" i="31"/>
  <c r="D121" i="31"/>
  <c r="F123" i="31"/>
  <c r="D122" i="31" l="1"/>
  <c r="E122" i="31"/>
  <c r="H122" i="31" s="1"/>
  <c r="C123" i="31"/>
  <c r="F124" i="31"/>
  <c r="G123" i="31"/>
  <c r="G122" i="31"/>
  <c r="F125" i="31" l="1"/>
  <c r="G124" i="31"/>
  <c r="E123" i="31"/>
  <c r="H123" i="31" s="1"/>
  <c r="C124" i="31"/>
  <c r="D123" i="31"/>
  <c r="D124" i="31" l="1"/>
  <c r="E124" i="31"/>
  <c r="H124" i="31" s="1"/>
  <c r="C125" i="31"/>
  <c r="F126" i="31"/>
  <c r="G125" i="31"/>
  <c r="F127" i="31" l="1"/>
  <c r="G126" i="31"/>
  <c r="C126" i="31"/>
  <c r="D125" i="31"/>
  <c r="E125" i="31"/>
  <c r="H125" i="31" s="1"/>
  <c r="D126" i="31" l="1"/>
  <c r="C127" i="31"/>
  <c r="E126" i="31"/>
  <c r="H126" i="31" s="1"/>
  <c r="F128" i="31"/>
  <c r="E127" i="31" l="1"/>
  <c r="H127" i="31" s="1"/>
  <c r="C128" i="31"/>
  <c r="D127" i="31"/>
  <c r="F129" i="31"/>
  <c r="G127" i="31"/>
  <c r="E33" i="27"/>
  <c r="E34" i="27" s="1"/>
  <c r="E35" i="27" s="1"/>
  <c r="E36" i="27" s="1"/>
  <c r="E37" i="27" s="1"/>
  <c r="E38" i="27" s="1"/>
  <c r="C83" i="27"/>
  <c r="B83" i="27"/>
  <c r="D128" i="31" l="1"/>
  <c r="E128" i="31"/>
  <c r="H128" i="31" s="1"/>
  <c r="C129" i="31"/>
  <c r="F130" i="31"/>
  <c r="G129" i="31"/>
  <c r="G128" i="31"/>
  <c r="E129" i="31" l="1"/>
  <c r="H129" i="31" s="1"/>
  <c r="C130" i="31"/>
  <c r="D129" i="31"/>
  <c r="F131" i="31"/>
  <c r="E95" i="26"/>
  <c r="C96" i="26"/>
  <c r="D130" i="31" l="1"/>
  <c r="E130" i="31"/>
  <c r="H130" i="31" s="1"/>
  <c r="C131" i="31"/>
  <c r="F132" i="31"/>
  <c r="G130" i="31"/>
  <c r="C30" i="18"/>
  <c r="C47" i="18"/>
  <c r="C46" i="18"/>
  <c r="C45" i="18"/>
  <c r="C44" i="18"/>
  <c r="C48" i="18"/>
  <c r="F133" i="31" l="1"/>
  <c r="G132" i="31"/>
  <c r="E131" i="31"/>
  <c r="H131" i="31" s="1"/>
  <c r="C132" i="31"/>
  <c r="D131" i="31"/>
  <c r="G131" i="31"/>
  <c r="C49" i="18"/>
  <c r="C50" i="18" s="1"/>
  <c r="D76" i="27"/>
  <c r="D75" i="27"/>
  <c r="D74" i="27"/>
  <c r="D73" i="27"/>
  <c r="D72" i="27"/>
  <c r="D71" i="27"/>
  <c r="T47" i="27"/>
  <c r="S47" i="27"/>
  <c r="R47" i="27"/>
  <c r="Q47" i="27"/>
  <c r="P47" i="27"/>
  <c r="O47" i="27"/>
  <c r="N47" i="27"/>
  <c r="M47" i="27"/>
  <c r="T46" i="27"/>
  <c r="S46" i="27"/>
  <c r="R46" i="27"/>
  <c r="Q46" i="27"/>
  <c r="P46" i="27"/>
  <c r="O46" i="27"/>
  <c r="N46" i="27"/>
  <c r="M46" i="27"/>
  <c r="T45" i="27"/>
  <c r="S45" i="27"/>
  <c r="R45" i="27"/>
  <c r="Q45" i="27"/>
  <c r="P45" i="27"/>
  <c r="O45" i="27"/>
  <c r="N45" i="27"/>
  <c r="M45" i="27"/>
  <c r="T44" i="27"/>
  <c r="S44" i="27"/>
  <c r="R44" i="27"/>
  <c r="Q44" i="27"/>
  <c r="P44" i="27"/>
  <c r="O44" i="27"/>
  <c r="N44" i="27"/>
  <c r="M44" i="27"/>
  <c r="D44" i="27"/>
  <c r="T43" i="27"/>
  <c r="S43" i="27"/>
  <c r="R43" i="27"/>
  <c r="Q43" i="27"/>
  <c r="P43" i="27"/>
  <c r="T42" i="27"/>
  <c r="S42" i="27"/>
  <c r="R42" i="27"/>
  <c r="Q42" i="27"/>
  <c r="O42" i="27"/>
  <c r="T41" i="27"/>
  <c r="S41" i="27"/>
  <c r="R41" i="27"/>
  <c r="Q41" i="27"/>
  <c r="N41" i="27"/>
  <c r="T40" i="27"/>
  <c r="S40" i="27"/>
  <c r="R40" i="27"/>
  <c r="Q40" i="27"/>
  <c r="M40" i="27"/>
  <c r="L40" i="27"/>
  <c r="F39" i="27"/>
  <c r="D38" i="27"/>
  <c r="F38" i="27" s="1"/>
  <c r="D37" i="27"/>
  <c r="F37" i="27" s="1"/>
  <c r="F36" i="27"/>
  <c r="F35" i="27"/>
  <c r="F34" i="27"/>
  <c r="F33" i="27"/>
  <c r="F32" i="27"/>
  <c r="N39" i="27" s="1"/>
  <c r="F31" i="27"/>
  <c r="F30" i="27"/>
  <c r="D29" i="27"/>
  <c r="D28" i="27"/>
  <c r="D26" i="27"/>
  <c r="D132" i="31" l="1"/>
  <c r="E132" i="31"/>
  <c r="H132" i="31" s="1"/>
  <c r="C133" i="31"/>
  <c r="F134" i="31"/>
  <c r="G133" i="31"/>
  <c r="D62" i="27"/>
  <c r="D66" i="27" s="1"/>
  <c r="D67" i="27" s="1"/>
  <c r="F48" i="27"/>
  <c r="D46" i="27" s="1"/>
  <c r="L41" i="27"/>
  <c r="M41" i="27" s="1"/>
  <c r="N40" i="27"/>
  <c r="O39" i="27"/>
  <c r="D44" i="26"/>
  <c r="D42" i="26"/>
  <c r="D33" i="26"/>
  <c r="F135" i="31" l="1"/>
  <c r="G134" i="31"/>
  <c r="C134" i="31"/>
  <c r="D133" i="31"/>
  <c r="E133" i="31"/>
  <c r="H133" i="31" s="1"/>
  <c r="O40" i="27"/>
  <c r="O41" i="27"/>
  <c r="D63" i="27"/>
  <c r="D64" i="27" s="1"/>
  <c r="D53" i="27"/>
  <c r="D54" i="27" s="1"/>
  <c r="D45" i="27"/>
  <c r="D48" i="27"/>
  <c r="D47" i="27"/>
  <c r="P39" i="27"/>
  <c r="L42" i="27"/>
  <c r="P102" i="26"/>
  <c r="O117" i="26"/>
  <c r="N117" i="26"/>
  <c r="M117" i="26"/>
  <c r="L117" i="26"/>
  <c r="O116" i="26"/>
  <c r="N116" i="26"/>
  <c r="M116" i="26"/>
  <c r="L116" i="26"/>
  <c r="O115" i="26"/>
  <c r="N115" i="26"/>
  <c r="M115" i="26"/>
  <c r="L115" i="26"/>
  <c r="O114" i="26"/>
  <c r="N114" i="26"/>
  <c r="M114" i="26"/>
  <c r="L114" i="26"/>
  <c r="O113" i="26"/>
  <c r="N113" i="26"/>
  <c r="M113" i="26"/>
  <c r="L113" i="26"/>
  <c r="O112" i="26"/>
  <c r="N112" i="26"/>
  <c r="M112" i="26"/>
  <c r="L112" i="26"/>
  <c r="O111" i="26"/>
  <c r="N111" i="26"/>
  <c r="M111" i="26"/>
  <c r="L111" i="26"/>
  <c r="O110" i="26"/>
  <c r="N110" i="26"/>
  <c r="M110" i="26"/>
  <c r="L110" i="26"/>
  <c r="O109" i="26"/>
  <c r="N109" i="26"/>
  <c r="M109" i="26"/>
  <c r="L109" i="26"/>
  <c r="O108" i="26"/>
  <c r="N108" i="26"/>
  <c r="M108" i="26"/>
  <c r="L108" i="26"/>
  <c r="O107" i="26"/>
  <c r="N107" i="26"/>
  <c r="M107" i="26"/>
  <c r="L107" i="26"/>
  <c r="O106" i="26"/>
  <c r="N106" i="26"/>
  <c r="M106" i="26"/>
  <c r="L106" i="26"/>
  <c r="O105" i="26"/>
  <c r="N105" i="26"/>
  <c r="M105" i="26"/>
  <c r="L105" i="26"/>
  <c r="O104" i="26"/>
  <c r="N104" i="26"/>
  <c r="M104" i="26"/>
  <c r="L104" i="26"/>
  <c r="O103" i="26"/>
  <c r="N103" i="26"/>
  <c r="M103" i="26"/>
  <c r="L103" i="26"/>
  <c r="I101" i="26"/>
  <c r="D134" i="31" l="1"/>
  <c r="C135" i="31"/>
  <c r="E134" i="31"/>
  <c r="H134" i="31" s="1"/>
  <c r="F136" i="31"/>
  <c r="M42" i="27"/>
  <c r="N42" i="27"/>
  <c r="P41" i="27"/>
  <c r="P40" i="27"/>
  <c r="P42" i="27"/>
  <c r="L43" i="27"/>
  <c r="Q39" i="27"/>
  <c r="D49" i="27"/>
  <c r="F103" i="26"/>
  <c r="F137" i="31" l="1"/>
  <c r="G136" i="31"/>
  <c r="E135" i="31"/>
  <c r="H135" i="31" s="1"/>
  <c r="C136" i="31"/>
  <c r="D135" i="31"/>
  <c r="G135" i="31"/>
  <c r="M43" i="27"/>
  <c r="N43" i="27"/>
  <c r="O43" i="27"/>
  <c r="U47" i="27"/>
  <c r="U41" i="27"/>
  <c r="U44" i="27"/>
  <c r="U45" i="27"/>
  <c r="U42" i="27"/>
  <c r="U40" i="27"/>
  <c r="U46" i="27"/>
  <c r="L44" i="27"/>
  <c r="R39" i="27"/>
  <c r="C34" i="26"/>
  <c r="D136" i="31" l="1"/>
  <c r="E136" i="31"/>
  <c r="H136" i="31" s="1"/>
  <c r="C137" i="31"/>
  <c r="F138" i="31"/>
  <c r="G137" i="31"/>
  <c r="U43" i="27"/>
  <c r="U49" i="27" s="1"/>
  <c r="D50" i="27" s="1"/>
  <c r="D51" i="27" s="1"/>
  <c r="L45" i="27"/>
  <c r="S39" i="27"/>
  <c r="B105" i="26"/>
  <c r="D105" i="26" s="1"/>
  <c r="D104" i="26"/>
  <c r="D103" i="26"/>
  <c r="F139" i="31" l="1"/>
  <c r="G138" i="31"/>
  <c r="C138" i="31"/>
  <c r="D137" i="31"/>
  <c r="E137" i="31"/>
  <c r="H137" i="31" s="1"/>
  <c r="L46" i="27"/>
  <c r="T39" i="27"/>
  <c r="L47" i="27" s="1"/>
  <c r="D60" i="27"/>
  <c r="G50" i="27"/>
  <c r="D77" i="27"/>
  <c r="B106" i="26"/>
  <c r="B107" i="26" s="1"/>
  <c r="B108" i="26" s="1"/>
  <c r="B109" i="26" s="1"/>
  <c r="B110" i="26" s="1"/>
  <c r="B111" i="26" s="1"/>
  <c r="B112" i="26" s="1"/>
  <c r="B113" i="26" s="1"/>
  <c r="B114" i="26" s="1"/>
  <c r="B115" i="26" s="1"/>
  <c r="B116" i="26" s="1"/>
  <c r="B117" i="26" s="1"/>
  <c r="B118" i="26" s="1"/>
  <c r="B119" i="26" s="1"/>
  <c r="B120" i="26" s="1"/>
  <c r="B121" i="26" s="1"/>
  <c r="B122" i="26" s="1"/>
  <c r="B123" i="26" s="1"/>
  <c r="B124" i="26" s="1"/>
  <c r="B125" i="26" s="1"/>
  <c r="B126" i="26" s="1"/>
  <c r="B127" i="26" s="1"/>
  <c r="B128" i="26" s="1"/>
  <c r="B129" i="26" s="1"/>
  <c r="B130" i="26" s="1"/>
  <c r="B131" i="26" s="1"/>
  <c r="B132" i="26" s="1"/>
  <c r="B133" i="26" s="1"/>
  <c r="B134" i="26" s="1"/>
  <c r="B135" i="26" s="1"/>
  <c r="B136" i="26" s="1"/>
  <c r="B137" i="26" s="1"/>
  <c r="B138" i="26" s="1"/>
  <c r="B139" i="26" s="1"/>
  <c r="B140" i="26" s="1"/>
  <c r="B141" i="26" s="1"/>
  <c r="B142" i="26" s="1"/>
  <c r="B143" i="26" s="1"/>
  <c r="B144" i="26" s="1"/>
  <c r="B145" i="26" s="1"/>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C8" i="26"/>
  <c r="C17" i="26"/>
  <c r="C64" i="26"/>
  <c r="C62" i="26"/>
  <c r="C9" i="26" l="1"/>
  <c r="E10" i="26" s="1"/>
  <c r="D138" i="31"/>
  <c r="E138" i="31"/>
  <c r="H138" i="31" s="1"/>
  <c r="C139" i="31"/>
  <c r="G139" i="31"/>
  <c r="F140" i="31"/>
  <c r="D78" i="27"/>
  <c r="G78" i="27" s="1"/>
  <c r="D52" i="27"/>
  <c r="G52" i="27" s="1"/>
  <c r="D55" i="27"/>
  <c r="D56" i="27" s="1"/>
  <c r="E52" i="27"/>
  <c r="C104" i="26"/>
  <c r="C105" i="26"/>
  <c r="C103" i="26"/>
  <c r="C106" i="26"/>
  <c r="D106" i="26"/>
  <c r="C26" i="26"/>
  <c r="E42" i="26" s="1"/>
  <c r="C24" i="26"/>
  <c r="C38" i="26" s="1"/>
  <c r="C14" i="26"/>
  <c r="C19" i="26" l="1"/>
  <c r="E19" i="26" s="1"/>
  <c r="E103" i="26"/>
  <c r="E14" i="26"/>
  <c r="E139" i="31"/>
  <c r="H139" i="31" s="1"/>
  <c r="C140" i="31"/>
  <c r="D139" i="31"/>
  <c r="F141" i="31"/>
  <c r="D68" i="27"/>
  <c r="D69" i="27" s="1"/>
  <c r="D70" i="27" s="1"/>
  <c r="D79" i="27" s="1"/>
  <c r="G79" i="27" s="1"/>
  <c r="D57" i="27"/>
  <c r="D58" i="27" s="1"/>
  <c r="D59" i="27"/>
  <c r="E33" i="26"/>
  <c r="C39" i="26"/>
  <c r="C40" i="26" s="1"/>
  <c r="C35" i="26"/>
  <c r="C36" i="26" s="1"/>
  <c r="C37" i="26" s="1"/>
  <c r="F110" i="26" s="1"/>
  <c r="E110" i="26" s="1"/>
  <c r="C107" i="26"/>
  <c r="D107" i="26"/>
  <c r="C27" i="26"/>
  <c r="C18" i="26"/>
  <c r="C65" i="26"/>
  <c r="C69" i="26" s="1"/>
  <c r="C15" i="26"/>
  <c r="C16" i="26" s="1"/>
  <c r="C28" i="26" l="1"/>
  <c r="C29" i="26" s="1"/>
  <c r="C20" i="26"/>
  <c r="C61" i="26" s="1"/>
  <c r="D140" i="31"/>
  <c r="E140" i="31"/>
  <c r="H140" i="31" s="1"/>
  <c r="C141" i="31"/>
  <c r="F142" i="31"/>
  <c r="G141" i="31"/>
  <c r="G140" i="31"/>
  <c r="C98" i="26"/>
  <c r="C93" i="26"/>
  <c r="D80" i="27"/>
  <c r="D81" i="27" s="1"/>
  <c r="C108" i="26"/>
  <c r="D108" i="26"/>
  <c r="C31" i="26" l="1"/>
  <c r="E107" i="26" s="1"/>
  <c r="C50" i="26"/>
  <c r="C51" i="26" s="1"/>
  <c r="C52" i="26" s="1"/>
  <c r="C30" i="26"/>
  <c r="F107" i="26" s="1"/>
  <c r="F143" i="31"/>
  <c r="G142" i="31"/>
  <c r="C142" i="31"/>
  <c r="D141" i="31"/>
  <c r="E141" i="31"/>
  <c r="H141" i="31" s="1"/>
  <c r="G80" i="27"/>
  <c r="D82" i="27"/>
  <c r="D83" i="27" s="1"/>
  <c r="C109" i="26"/>
  <c r="D109" i="26"/>
  <c r="C67" i="26"/>
  <c r="C68" i="26"/>
  <c r="C32" i="26" l="1"/>
  <c r="E32" i="26" s="1"/>
  <c r="D142" i="31"/>
  <c r="C143" i="31"/>
  <c r="E142" i="31"/>
  <c r="H142" i="31" s="1"/>
  <c r="F144" i="31"/>
  <c r="C110" i="26"/>
  <c r="D110" i="26"/>
  <c r="C71" i="26"/>
  <c r="C56" i="26" s="1"/>
  <c r="E143" i="31" l="1"/>
  <c r="H143" i="31" s="1"/>
  <c r="D143" i="31"/>
  <c r="C144" i="31"/>
  <c r="F145" i="31"/>
  <c r="G144" i="31"/>
  <c r="G143" i="31"/>
  <c r="C111" i="26"/>
  <c r="D111" i="26"/>
  <c r="C57" i="26"/>
  <c r="F146" i="31" l="1"/>
  <c r="G145" i="31"/>
  <c r="D144" i="31"/>
  <c r="E144" i="31"/>
  <c r="H144" i="31" s="1"/>
  <c r="C145" i="31"/>
  <c r="C112" i="26"/>
  <c r="D112" i="26"/>
  <c r="E145" i="31" l="1"/>
  <c r="H145" i="31" s="1"/>
  <c r="C146" i="31"/>
  <c r="D145" i="31"/>
  <c r="F147" i="31"/>
  <c r="D113" i="26"/>
  <c r="C113" i="26"/>
  <c r="D146" i="31" l="1"/>
  <c r="C147" i="31"/>
  <c r="E146" i="31"/>
  <c r="H146" i="31" s="1"/>
  <c r="F148" i="31"/>
  <c r="G146" i="31"/>
  <c r="C114" i="26"/>
  <c r="D114" i="26"/>
  <c r="E147" i="31" l="1"/>
  <c r="H147" i="31" s="1"/>
  <c r="D147" i="31"/>
  <c r="C148" i="31"/>
  <c r="F149" i="31"/>
  <c r="G148" i="31"/>
  <c r="G147" i="31"/>
  <c r="C115" i="26"/>
  <c r="D115" i="26"/>
  <c r="F150" i="31" l="1"/>
  <c r="G149" i="31"/>
  <c r="D148" i="31"/>
  <c r="E148" i="31"/>
  <c r="H148" i="31" s="1"/>
  <c r="C149" i="31"/>
  <c r="C116" i="26"/>
  <c r="D116" i="26"/>
  <c r="C150" i="31" l="1"/>
  <c r="D149" i="31"/>
  <c r="E149" i="31"/>
  <c r="H149" i="31" s="1"/>
  <c r="F151" i="31"/>
  <c r="G150" i="31"/>
  <c r="C117" i="26"/>
  <c r="D117" i="26"/>
  <c r="D28" i="16"/>
  <c r="D29" i="16"/>
  <c r="F152" i="31" l="1"/>
  <c r="G151" i="31"/>
  <c r="D150" i="31"/>
  <c r="C151" i="31"/>
  <c r="E150" i="31"/>
  <c r="H150" i="31" s="1"/>
  <c r="C118" i="26"/>
  <c r="D118" i="26"/>
  <c r="E151" i="31" l="1"/>
  <c r="H151" i="31" s="1"/>
  <c r="C152" i="31"/>
  <c r="D151" i="31"/>
  <c r="F153" i="31"/>
  <c r="C119" i="26"/>
  <c r="D119" i="26"/>
  <c r="D9" i="16"/>
  <c r="C8" i="16"/>
  <c r="D23" i="16"/>
  <c r="B33" i="18"/>
  <c r="B37" i="18"/>
  <c r="C38" i="18"/>
  <c r="D152" i="31" l="1"/>
  <c r="E152" i="31"/>
  <c r="H152" i="31" s="1"/>
  <c r="C153" i="31"/>
  <c r="F154" i="31"/>
  <c r="G153" i="31"/>
  <c r="G152" i="31"/>
  <c r="D120" i="26"/>
  <c r="C120" i="26"/>
  <c r="F8" i="16"/>
  <c r="C34" i="18"/>
  <c r="C35" i="18" s="1"/>
  <c r="C15" i="18"/>
  <c r="F155" i="31" l="1"/>
  <c r="G154" i="31"/>
  <c r="C154" i="31"/>
  <c r="D153" i="31"/>
  <c r="E153" i="31"/>
  <c r="H153" i="31" s="1"/>
  <c r="D121" i="26"/>
  <c r="C121" i="26"/>
  <c r="C36" i="18"/>
  <c r="C53" i="18" s="1"/>
  <c r="C18" i="24"/>
  <c r="E17" i="24"/>
  <c r="C9" i="24"/>
  <c r="D10" i="24"/>
  <c r="D16" i="24"/>
  <c r="C16" i="24" s="1"/>
  <c r="D30" i="24"/>
  <c r="D154" i="31" l="1"/>
  <c r="E154" i="31"/>
  <c r="H154" i="31" s="1"/>
  <c r="C155" i="31"/>
  <c r="G155" i="31"/>
  <c r="C41" i="18"/>
  <c r="E52" i="18" s="1"/>
  <c r="C122" i="26"/>
  <c r="D122" i="26"/>
  <c r="E18" i="24"/>
  <c r="D18" i="24"/>
  <c r="D22" i="24" s="1"/>
  <c r="E155" i="31" l="1"/>
  <c r="H155" i="31" s="1"/>
  <c r="D155" i="31"/>
  <c r="C123" i="26"/>
  <c r="D123" i="26"/>
  <c r="D23" i="24"/>
  <c r="D21" i="24"/>
  <c r="D31" i="24" s="1"/>
  <c r="D24" i="24" l="1"/>
  <c r="D26" i="24" s="1"/>
  <c r="C124" i="26"/>
  <c r="D124" i="26"/>
  <c r="D29" i="24"/>
  <c r="D12" i="24" s="1"/>
  <c r="D25" i="24" l="1"/>
  <c r="D11" i="24"/>
  <c r="C125" i="26"/>
  <c r="D125" i="26"/>
  <c r="C32" i="18"/>
  <c r="C126" i="26" l="1"/>
  <c r="D126" i="26"/>
  <c r="C127" i="26" l="1"/>
  <c r="D127" i="26"/>
  <c r="C128" i="26" l="1"/>
  <c r="D128" i="26"/>
  <c r="D51" i="18"/>
  <c r="D52" i="18" s="1"/>
  <c r="C51" i="18"/>
  <c r="C33" i="13"/>
  <c r="C52" i="18" l="1"/>
  <c r="D129" i="26"/>
  <c r="C129" i="26"/>
  <c r="D16" i="13"/>
  <c r="D14" i="13"/>
  <c r="C15" i="13"/>
  <c r="C13" i="13"/>
  <c r="C130" i="26" l="1"/>
  <c r="D130" i="26"/>
  <c r="C131" i="26" l="1"/>
  <c r="D131" i="26"/>
  <c r="D34" i="13"/>
  <c r="D51" i="13"/>
  <c r="D53" i="13" s="1"/>
  <c r="C50" i="13"/>
  <c r="C132" i="26" l="1"/>
  <c r="D132" i="26"/>
  <c r="D38" i="13"/>
  <c r="D43" i="13" s="1"/>
  <c r="C133" i="26" l="1"/>
  <c r="D133" i="26"/>
  <c r="E60" i="13"/>
  <c r="D60" i="13"/>
  <c r="C59" i="13"/>
  <c r="E59" i="13" s="1"/>
  <c r="C58" i="13"/>
  <c r="E58" i="13" s="1"/>
  <c r="D32" i="11"/>
  <c r="E30" i="11"/>
  <c r="C134" i="26" l="1"/>
  <c r="D134" i="26"/>
  <c r="C135" i="26" l="1"/>
  <c r="D135" i="26"/>
  <c r="D136" i="26" l="1"/>
  <c r="C136" i="26"/>
  <c r="D137" i="26" l="1"/>
  <c r="C137" i="26"/>
  <c r="C25" i="18"/>
  <c r="D18" i="18"/>
  <c r="D19" i="18" s="1"/>
  <c r="C18" i="18"/>
  <c r="C19" i="18" s="1"/>
  <c r="C138" i="26" l="1"/>
  <c r="D138" i="26"/>
  <c r="C139" i="26" l="1"/>
  <c r="D139" i="26"/>
  <c r="C16" i="1"/>
  <c r="C17" i="1" s="1"/>
  <c r="C15" i="1"/>
  <c r="C11" i="1"/>
  <c r="C10" i="1"/>
  <c r="C140" i="26" l="1"/>
  <c r="D140" i="26"/>
  <c r="C18" i="1"/>
  <c r="C19" i="1" s="1"/>
  <c r="F48" i="13"/>
  <c r="F12" i="13"/>
  <c r="D17" i="13"/>
  <c r="F18" i="13" s="1"/>
  <c r="F47" i="13"/>
  <c r="D49" i="13"/>
  <c r="D54" i="13" s="1"/>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80" i="13"/>
  <c r="F13" i="13"/>
  <c r="D11" i="13"/>
  <c r="D21" i="13" s="1"/>
  <c r="D37" i="13"/>
  <c r="D35" i="13"/>
  <c r="C141" i="26" l="1"/>
  <c r="D141" i="26"/>
  <c r="F50" i="13"/>
  <c r="D52" i="13"/>
  <c r="C142" i="26" l="1"/>
  <c r="D142" i="26"/>
  <c r="C143" i="26" l="1"/>
  <c r="D143" i="26"/>
  <c r="C29" i="18"/>
  <c r="C20" i="18"/>
  <c r="C14" i="18"/>
  <c r="C11" i="18"/>
  <c r="C144" i="26" l="1"/>
  <c r="D144" i="26"/>
  <c r="D31" i="11"/>
  <c r="D33" i="11" s="1"/>
  <c r="C30" i="11"/>
  <c r="E31" i="11"/>
  <c r="D145" i="26" l="1"/>
  <c r="C145" i="26"/>
  <c r="E28" i="14"/>
  <c r="D28" i="14"/>
  <c r="C27" i="14"/>
  <c r="E27" i="14" s="1"/>
  <c r="C26" i="14"/>
  <c r="E26" i="14" s="1"/>
  <c r="C146" i="26" l="1"/>
  <c r="D146" i="26"/>
  <c r="D22" i="13"/>
  <c r="F21" i="13"/>
  <c r="D13" i="14"/>
  <c r="C147" i="26" l="1"/>
  <c r="D147" i="26"/>
  <c r="D23" i="13"/>
  <c r="D24" i="13" s="1"/>
  <c r="C148" i="26" l="1"/>
  <c r="D148" i="26"/>
  <c r="C149" i="26" l="1"/>
  <c r="D149" i="26"/>
  <c r="D18" i="16"/>
  <c r="D34" i="16"/>
  <c r="C150" i="26" l="1"/>
  <c r="D150" i="26"/>
  <c r="D19" i="16"/>
  <c r="D35" i="16"/>
  <c r="D24" i="16"/>
  <c r="D20" i="16" l="1"/>
  <c r="D30" i="16"/>
  <c r="C151" i="26"/>
  <c r="D151" i="26"/>
  <c r="D21" i="16"/>
  <c r="D25" i="16"/>
  <c r="D27" i="16" s="1"/>
  <c r="D33" i="16" s="1"/>
  <c r="D26" i="16"/>
  <c r="D36" i="16"/>
  <c r="D31" i="16" l="1"/>
  <c r="D32" i="16" s="1"/>
  <c r="D42" i="16" s="1"/>
  <c r="D152" i="26"/>
  <c r="C152" i="26"/>
  <c r="D153" i="26" l="1"/>
  <c r="C153" i="26"/>
  <c r="D39" i="16"/>
  <c r="E10" i="16" s="1"/>
  <c r="C23" i="1"/>
  <c r="C154" i="26" l="1"/>
  <c r="D154" i="26"/>
  <c r="D40" i="16"/>
  <c r="D41" i="16"/>
  <c r="I36" i="9"/>
  <c r="H36" i="9"/>
  <c r="D29" i="9"/>
  <c r="D28" i="9"/>
  <c r="D25" i="9"/>
  <c r="D20" i="9"/>
  <c r="D17" i="9"/>
  <c r="C155" i="26" l="1"/>
  <c r="D155" i="26"/>
  <c r="D43" i="16"/>
  <c r="D44" i="16"/>
  <c r="F37" i="9"/>
  <c r="F36" i="9"/>
  <c r="D25" i="11"/>
  <c r="E25" i="11"/>
  <c r="C24" i="11"/>
  <c r="E24" i="11" s="1"/>
  <c r="C23" i="11"/>
  <c r="E23" i="11" s="1"/>
  <c r="C156" i="26" l="1"/>
  <c r="D156" i="26"/>
  <c r="D16" i="14"/>
  <c r="D15" i="14"/>
  <c r="D11" i="14"/>
  <c r="D12" i="14" s="1"/>
  <c r="D40" i="13"/>
  <c r="F38" i="13"/>
  <c r="C157" i="26" l="1"/>
  <c r="D157" i="26"/>
  <c r="D17" i="14"/>
  <c r="D18" i="14" s="1"/>
  <c r="D20" i="14" s="1"/>
  <c r="D41" i="13"/>
  <c r="D42" i="13" s="1"/>
  <c r="C158" i="26" l="1"/>
  <c r="D158" i="26"/>
  <c r="D21" i="14"/>
  <c r="D22" i="14" s="1"/>
  <c r="D159" i="26" l="1"/>
  <c r="C159" i="26"/>
  <c r="C160" i="26" l="1"/>
  <c r="D160" i="26"/>
  <c r="D21" i="9"/>
  <c r="D161" i="26" l="1"/>
  <c r="C161" i="26"/>
  <c r="D34" i="9"/>
  <c r="D37" i="9" s="1"/>
  <c r="D33" i="9"/>
  <c r="D36" i="9" s="1"/>
  <c r="C162" i="26" l="1"/>
  <c r="D162" i="26"/>
  <c r="D44" i="9"/>
  <c r="D45" i="9"/>
  <c r="D38" i="9"/>
  <c r="D51" i="9" s="1"/>
  <c r="C163" i="26" l="1"/>
  <c r="D163" i="26"/>
  <c r="C164" i="26" l="1"/>
  <c r="D164" i="26"/>
  <c r="C165" i="26" l="1"/>
  <c r="D165" i="26"/>
  <c r="C166" i="26" l="1"/>
  <c r="D166" i="26"/>
  <c r="C167" i="26" l="1"/>
  <c r="D167" i="26"/>
  <c r="C168" i="26" l="1"/>
  <c r="D168" i="26"/>
  <c r="D169" i="26" l="1"/>
  <c r="C169" i="26"/>
  <c r="C170" i="26" l="1"/>
  <c r="D170" i="26"/>
  <c r="C171" i="26" l="1"/>
  <c r="D171" i="26"/>
  <c r="C172" i="26" l="1"/>
  <c r="D172" i="26"/>
  <c r="C173" i="26" l="1"/>
  <c r="D173" i="26"/>
  <c r="C174" i="26" l="1"/>
  <c r="D174" i="26"/>
  <c r="C175" i="26" l="1"/>
  <c r="D175" i="26"/>
  <c r="C176" i="26" l="1"/>
  <c r="D176" i="26"/>
  <c r="D177" i="26" l="1"/>
  <c r="C177" i="26"/>
  <c r="C178" i="26" l="1"/>
  <c r="D178" i="26"/>
  <c r="C179" i="26" l="1"/>
  <c r="D179" i="26"/>
  <c r="C24" i="1"/>
  <c r="C25" i="1" s="1"/>
  <c r="C180" i="26" l="1"/>
  <c r="D180" i="26"/>
  <c r="C26" i="1"/>
  <c r="C27" i="1" s="1"/>
  <c r="C181" i="26" l="1"/>
  <c r="D181" i="26"/>
  <c r="C41" i="26" l="1"/>
  <c r="C42" i="26" s="1"/>
  <c r="C43" i="26" l="1"/>
  <c r="C45" i="26" s="1"/>
  <c r="C46" i="26" l="1"/>
  <c r="C47" i="26" s="1"/>
  <c r="F111" i="26" s="1"/>
  <c r="C44" i="26"/>
  <c r="E111" i="26" l="1"/>
  <c r="C49" i="26"/>
  <c r="F104" i="26" s="1"/>
  <c r="F105" i="26" s="1"/>
  <c r="E104" i="26" l="1"/>
  <c r="F106" i="26"/>
  <c r="E106" i="26" s="1"/>
  <c r="E105" i="26"/>
</calcChain>
</file>

<file path=xl/comments1.xml><?xml version="1.0" encoding="utf-8"?>
<comments xmlns="http://schemas.openxmlformats.org/spreadsheetml/2006/main">
  <authors>
    <author>Chris Oberhauser</author>
  </authors>
  <commentList>
    <comment ref="C23" authorId="0" shapeId="0">
      <text>
        <r>
          <rPr>
            <b/>
            <sz val="9"/>
            <color indexed="81"/>
            <rFont val="Tahoma"/>
            <family val="2"/>
          </rPr>
          <t>Larger Coils have improved sensing range</t>
        </r>
        <r>
          <rPr>
            <sz val="9"/>
            <color indexed="81"/>
            <rFont val="Tahoma"/>
            <family val="2"/>
          </rPr>
          <t xml:space="preserve">
</t>
        </r>
      </text>
    </comment>
    <comment ref="C25" authorId="0" shapeId="0">
      <text>
        <r>
          <rPr>
            <sz val="9"/>
            <color indexed="81"/>
            <rFont val="Tahoma"/>
            <family val="2"/>
          </rPr>
          <t xml:space="preserve">This must be closer than Switch-On distance
</t>
        </r>
      </text>
    </comment>
  </commentList>
</comments>
</file>

<file path=xl/comments2.xml><?xml version="1.0" encoding="utf-8"?>
<comments xmlns="http://schemas.openxmlformats.org/spreadsheetml/2006/main">
  <authors>
    <author>SVA Employee</author>
    <author>Chris Oberhauser</author>
  </authors>
  <commentList>
    <comment ref="C23" authorId="0" shapeId="0">
      <text>
        <r>
          <rPr>
            <b/>
            <sz val="9"/>
            <color indexed="81"/>
            <rFont val="Tahoma"/>
            <family val="2"/>
          </rPr>
          <t>Qmax = Rp_parasitic*</t>
        </r>
        <r>
          <rPr>
            <b/>
            <sz val="12"/>
            <color indexed="81"/>
            <rFont val="Symbol"/>
            <family val="1"/>
            <charset val="2"/>
          </rPr>
          <t>Ö</t>
        </r>
        <r>
          <rPr>
            <b/>
            <sz val="9"/>
            <color indexed="81"/>
            <rFont val="Tahoma"/>
            <family val="2"/>
          </rPr>
          <t>Csens/Lsens[initial]</t>
        </r>
      </text>
    </comment>
    <comment ref="C32" authorId="0" shapeId="0">
      <text>
        <r>
          <rPr>
            <b/>
            <sz val="9"/>
            <color indexed="81"/>
            <rFont val="Tahoma"/>
            <family val="2"/>
          </rPr>
          <t>Maximum Inductance
variation due to
target movement as a ratio compared to initial Lsen value</t>
        </r>
        <r>
          <rPr>
            <sz val="9"/>
            <color indexed="81"/>
            <rFont val="Tahoma"/>
            <family val="2"/>
          </rPr>
          <t xml:space="preserve">
</t>
        </r>
      </text>
    </comment>
    <comment ref="C33" authorId="0" shapeId="0">
      <text>
        <r>
          <rPr>
            <b/>
            <sz val="9"/>
            <color indexed="81"/>
            <rFont val="Tahoma"/>
            <family val="2"/>
          </rPr>
          <t>Sensor Inductance
(dist=0 to target)</t>
        </r>
        <r>
          <rPr>
            <sz val="9"/>
            <color indexed="81"/>
            <rFont val="Tahoma"/>
            <family val="2"/>
          </rPr>
          <t xml:space="preserve">
</t>
        </r>
        <r>
          <rPr>
            <b/>
            <sz val="9"/>
            <color indexed="81"/>
            <rFont val="Tahoma"/>
            <family val="2"/>
          </rPr>
          <t>Lfinal = Lvariation*Linitial</t>
        </r>
      </text>
    </comment>
    <comment ref="C34" authorId="0" shapeId="0">
      <text>
        <r>
          <rPr>
            <b/>
            <sz val="9"/>
            <color indexed="81"/>
            <rFont val="Tahoma"/>
            <family val="2"/>
          </rPr>
          <t>Oscillation Frequency:
Fosc =1/(2</t>
        </r>
        <r>
          <rPr>
            <b/>
            <sz val="9"/>
            <color indexed="81"/>
            <rFont val="Calibri"/>
            <family val="2"/>
          </rPr>
          <t>π</t>
        </r>
        <r>
          <rPr>
            <b/>
            <sz val="9"/>
            <color indexed="81"/>
            <rFont val="Symbol"/>
            <family val="1"/>
            <charset val="2"/>
          </rPr>
          <t>Ö</t>
        </r>
        <r>
          <rPr>
            <b/>
            <sz val="9"/>
            <color indexed="81"/>
            <rFont val="Tahoma"/>
            <family val="2"/>
          </rPr>
          <t>Lsens.Csens)</t>
        </r>
      </text>
    </comment>
    <comment ref="C36" authorId="0" shapeId="0">
      <text>
        <r>
          <rPr>
            <b/>
            <sz val="9"/>
            <color indexed="81"/>
            <rFont val="Tahoma"/>
            <family val="2"/>
          </rPr>
          <t>Equivalent Parallel 
Parasitic Resistance (d=0):
Rp = Lsens[final] / ( Csens.Rs )</t>
        </r>
        <r>
          <rPr>
            <sz val="9"/>
            <color indexed="81"/>
            <rFont val="Tahoma"/>
            <family val="2"/>
          </rPr>
          <t xml:space="preserve">
</t>
        </r>
      </text>
    </comment>
    <comment ref="C40" authorId="0" shapeId="0">
      <text>
        <r>
          <rPr>
            <b/>
            <sz val="9"/>
            <color indexed="81"/>
            <rFont val="Tahoma"/>
            <family val="2"/>
          </rPr>
          <t>Qmin = RpMIN*</t>
        </r>
        <r>
          <rPr>
            <b/>
            <sz val="9"/>
            <color indexed="81"/>
            <rFont val="Symbol"/>
            <family val="1"/>
            <charset val="2"/>
          </rPr>
          <t>Ö</t>
        </r>
        <r>
          <rPr>
            <b/>
            <sz val="9"/>
            <color indexed="81"/>
            <rFont val="Tahoma"/>
            <family val="2"/>
          </rPr>
          <t>Csens/Lsens[final]</t>
        </r>
        <r>
          <rPr>
            <sz val="9"/>
            <color indexed="81"/>
            <rFont val="Tahoma"/>
            <family val="2"/>
          </rPr>
          <t xml:space="preserve">
</t>
        </r>
      </text>
    </comment>
    <comment ref="C44" authorId="0" shapeId="0">
      <text>
        <r>
          <rPr>
            <b/>
            <sz val="9"/>
            <color indexed="81"/>
            <rFont val="Tahoma"/>
            <family val="2"/>
          </rPr>
          <t>Detector Resistance (d=0):
Rff = 1.66/( Fosc*</t>
        </r>
        <r>
          <rPr>
            <b/>
            <sz val="12"/>
            <color indexed="81"/>
            <rFont val="Symbol"/>
            <family val="1"/>
            <charset val="2"/>
          </rPr>
          <t>p</t>
        </r>
        <r>
          <rPr>
            <b/>
            <sz val="9"/>
            <color indexed="81"/>
            <rFont val="Tahoma"/>
            <family val="2"/>
          </rPr>
          <t>*Cff )</t>
        </r>
        <r>
          <rPr>
            <sz val="9"/>
            <color indexed="81"/>
            <rFont val="Tahoma"/>
            <family val="2"/>
          </rPr>
          <t xml:space="preserve">
</t>
        </r>
      </text>
    </comment>
    <comment ref="C125" authorId="1" shapeId="0">
      <text>
        <r>
          <rPr>
            <b/>
            <sz val="9"/>
            <color indexed="81"/>
            <rFont val="Tahoma"/>
            <family val="2"/>
          </rPr>
          <t>Applied to CLKIN input</t>
        </r>
        <r>
          <rPr>
            <sz val="9"/>
            <color indexed="81"/>
            <rFont val="Tahoma"/>
            <family val="2"/>
          </rPr>
          <t xml:space="preserve">
Use 42MHz for Internal divider value.</t>
        </r>
      </text>
    </comment>
    <comment ref="C136" authorId="1" shapeId="0">
      <text>
        <r>
          <rPr>
            <b/>
            <sz val="9"/>
            <color indexed="81"/>
            <rFont val="Tahoma"/>
            <family val="2"/>
          </rPr>
          <t>Applied to TBCLK input</t>
        </r>
        <r>
          <rPr>
            <sz val="9"/>
            <color indexed="81"/>
            <rFont val="Tahoma"/>
            <family val="2"/>
          </rPr>
          <t xml:space="preserve">
</t>
        </r>
      </text>
    </comment>
  </commentList>
</comments>
</file>

<file path=xl/comments3.xml><?xml version="1.0" encoding="utf-8"?>
<comments xmlns="http://schemas.openxmlformats.org/spreadsheetml/2006/main">
  <authors>
    <author>Chris Oberhauser</author>
  </authors>
  <commentList>
    <comment ref="C18" authorId="0" shapeId="0">
      <text>
        <r>
          <rPr>
            <b/>
            <sz val="9"/>
            <color indexed="81"/>
            <rFont val="Tahoma"/>
            <family val="2"/>
          </rPr>
          <t>Applied to CLKIN input</t>
        </r>
        <r>
          <rPr>
            <sz val="9"/>
            <color indexed="81"/>
            <rFont val="Tahoma"/>
            <family val="2"/>
          </rPr>
          <t xml:space="preserve">
Use 42MHz for Internal divider value.</t>
        </r>
      </text>
    </comment>
    <comment ref="C36" authorId="0" shapeId="0">
      <text>
        <r>
          <rPr>
            <b/>
            <sz val="9"/>
            <color indexed="81"/>
            <rFont val="Tahoma"/>
            <family val="2"/>
          </rPr>
          <t>Applied to TBCLK input</t>
        </r>
        <r>
          <rPr>
            <sz val="9"/>
            <color indexed="81"/>
            <rFont val="Tahoma"/>
            <family val="2"/>
          </rPr>
          <t xml:space="preserve">
</t>
        </r>
      </text>
    </comment>
  </commentList>
</comments>
</file>

<file path=xl/comments4.xml><?xml version="1.0" encoding="utf-8"?>
<comments xmlns="http://schemas.openxmlformats.org/spreadsheetml/2006/main">
  <authors>
    <author>Chris Oberhauser</author>
  </authors>
  <commentList>
    <comment ref="C19" authorId="0" shapeId="0">
      <text>
        <r>
          <rPr>
            <b/>
            <sz val="9"/>
            <color indexed="81"/>
            <rFont val="Tahoma"/>
            <family val="2"/>
          </rPr>
          <t xml:space="preserve">Note: </t>
        </r>
        <r>
          <rPr>
            <sz val="9"/>
            <color indexed="81"/>
            <rFont val="Tahoma"/>
            <family val="2"/>
          </rPr>
          <t xml:space="preserve">1oz copper is 35.6µm
</t>
        </r>
      </text>
    </comment>
  </commentList>
</comments>
</file>

<file path=xl/comments5.xml><?xml version="1.0" encoding="utf-8"?>
<comments xmlns="http://schemas.openxmlformats.org/spreadsheetml/2006/main">
  <authors>
    <author>Chris Oberhauser</author>
  </authors>
  <commentList>
    <comment ref="C12" authorId="0" shapeId="0">
      <text>
        <r>
          <rPr>
            <sz val="9"/>
            <color indexed="81"/>
            <rFont val="Tahoma"/>
            <family val="2"/>
          </rPr>
          <t>This is typically between 0.5 and 0.85</t>
        </r>
      </text>
    </comment>
  </commentList>
</comments>
</file>

<file path=xl/sharedStrings.xml><?xml version="1.0" encoding="utf-8"?>
<sst xmlns="http://schemas.openxmlformats.org/spreadsheetml/2006/main" count="1287" uniqueCount="857">
  <si>
    <t>MHz</t>
  </si>
  <si>
    <t>Hz</t>
  </si>
  <si>
    <t>Sensor Frequency</t>
  </si>
  <si>
    <t>cm</t>
  </si>
  <si>
    <t>Remote Sensor Distance Calculator</t>
  </si>
  <si>
    <t>Maximum Distance:</t>
  </si>
  <si>
    <t>Solve for maximum distance with a given sensor frequency</t>
  </si>
  <si>
    <t>Device:</t>
  </si>
  <si>
    <t>Solve for sensor frequency for a given distance</t>
  </si>
  <si>
    <t>Maximum Sensor Frequency</t>
  </si>
  <si>
    <t>LDC1000</t>
  </si>
  <si>
    <t>This tool does not include effects from environmental noise, which could also reduce the maximum effective sensor distance.</t>
  </si>
  <si>
    <t>Use of twisted pair is recommended for remote sensor placement.</t>
  </si>
  <si>
    <t>Fmax (MHz)</t>
  </si>
  <si>
    <t>Fmin(MHz)</t>
  </si>
  <si>
    <t>Device</t>
  </si>
  <si>
    <r>
      <rPr>
        <sz val="11"/>
        <color theme="1"/>
        <rFont val="Calibri"/>
        <family val="2"/>
      </rPr>
      <t>×</t>
    </r>
    <r>
      <rPr>
        <sz val="11"/>
        <color theme="1"/>
        <rFont val="Calibri"/>
        <family val="2"/>
        <scheme val="minor"/>
      </rPr>
      <t xml:space="preserve"> speed of light</t>
    </r>
  </si>
  <si>
    <t xml:space="preserve">Reference Frequency </t>
  </si>
  <si>
    <t>LDC Response Setting</t>
  </si>
  <si>
    <t>Reference Frequency</t>
  </si>
  <si>
    <t>Layer Stackup</t>
  </si>
  <si>
    <t>Enter only in Yellow Fields (pull-down for mm or mil)</t>
  </si>
  <si>
    <t>Results in Orange Fields</t>
  </si>
  <si>
    <t>Operating temperature</t>
  </si>
  <si>
    <t>T</t>
  </si>
  <si>
    <t>Enter operating temperature</t>
  </si>
  <si>
    <t>C</t>
  </si>
  <si>
    <t>pF</t>
  </si>
  <si>
    <t>Select LC tank capacitance</t>
  </si>
  <si>
    <t>Layers</t>
  </si>
  <si>
    <t>M</t>
  </si>
  <si>
    <t>Turns</t>
  </si>
  <si>
    <t>N</t>
  </si>
  <si>
    <t>Number of turns per layer</t>
  </si>
  <si>
    <t>mm</t>
  </si>
  <si>
    <t>Outer Diameter of the spiral inductor</t>
  </si>
  <si>
    <t>din</t>
  </si>
  <si>
    <t>Inner diameter of the spiral inductor (mm or mil)</t>
  </si>
  <si>
    <t>spacing between traces</t>
  </si>
  <si>
    <t>S</t>
  </si>
  <si>
    <t>Space between traces (mm or mil)</t>
  </si>
  <si>
    <t>width of trace</t>
  </si>
  <si>
    <t>w</t>
  </si>
  <si>
    <t>Width of the trace  (mm or mil)</t>
  </si>
  <si>
    <t>Space between layer 1 and 2  (mm or mil)</t>
  </si>
  <si>
    <t>Space between layer 2 and 3  (mm or mil)</t>
  </si>
  <si>
    <t>Space between layer 3 and 4 (mm or mil)</t>
  </si>
  <si>
    <t>Space between layer 4 and 5  (mm or mil)</t>
  </si>
  <si>
    <t>Space between layer 5 and 6  (mm or mil)</t>
  </si>
  <si>
    <t>Self and Mutual Inductance Matrix (computed - do not modify directly)</t>
  </si>
  <si>
    <t>Space between layer 6 and 7  (mm or mil)</t>
  </si>
  <si>
    <t>Coupling Coef</t>
  </si>
  <si>
    <t>Distance between Layers (mm)</t>
  </si>
  <si>
    <t>Space between layer 7 and 8  (mm or mil)</t>
  </si>
  <si>
    <t>x1</t>
  </si>
  <si>
    <t>x2</t>
  </si>
  <si>
    <t>x3</t>
  </si>
  <si>
    <t>x4</t>
  </si>
  <si>
    <t>x5</t>
  </si>
  <si>
    <t>x6</t>
  </si>
  <si>
    <t>x7</t>
  </si>
  <si>
    <t>x8</t>
  </si>
  <si>
    <t>Copper thickness</t>
  </si>
  <si>
    <t>t</t>
  </si>
  <si>
    <t>oz-Cu</t>
  </si>
  <si>
    <t>Copper layer thickness  (mm,Oz-Cu, or mil)</t>
  </si>
  <si>
    <t>pr</t>
  </si>
  <si>
    <t>Distance between layers</t>
  </si>
  <si>
    <t>pr_tc</t>
  </si>
  <si>
    <t>Conductor relative permeability</t>
  </si>
  <si>
    <t>Parasitic capacitance</t>
  </si>
  <si>
    <t>Cpar</t>
  </si>
  <si>
    <t>Estimate - generally in the rage of 1 to 5 pf</t>
  </si>
  <si>
    <t>Copper resistivity at operating temperature</t>
  </si>
  <si>
    <t xml:space="preserve">pr_t </t>
  </si>
  <si>
    <t>Average diameter</t>
  </si>
  <si>
    <t>davg</t>
  </si>
  <si>
    <t>Geometric mean diameter</t>
  </si>
  <si>
    <t>p</t>
  </si>
  <si>
    <t>Inductor inner diameter</t>
  </si>
  <si>
    <t>Self inductance per layer</t>
  </si>
  <si>
    <t>L</t>
  </si>
  <si>
    <r>
      <rPr>
        <sz val="10"/>
        <color theme="1"/>
        <rFont val="Calibri"/>
        <family val="2"/>
      </rPr>
      <t>µ</t>
    </r>
    <r>
      <rPr>
        <sz val="10"/>
        <color theme="1"/>
        <rFont val="Calibri"/>
        <family val="2"/>
        <scheme val="minor"/>
      </rPr>
      <t>H</t>
    </r>
  </si>
  <si>
    <t>Sensor Operating Frequency</t>
  </si>
  <si>
    <t>kHz</t>
  </si>
  <si>
    <t>coil length per layer</t>
  </si>
  <si>
    <t>l</t>
  </si>
  <si>
    <t>DC resistance</t>
  </si>
  <si>
    <t>Rdc</t>
  </si>
  <si>
    <t>Ω</t>
  </si>
  <si>
    <t>Skin depth</t>
  </si>
  <si>
    <t>sd</t>
  </si>
  <si>
    <t>AC resistance (skin effect only)</t>
  </si>
  <si>
    <t>Rp</t>
  </si>
  <si>
    <t>Q factor</t>
  </si>
  <si>
    <t>Q</t>
  </si>
  <si>
    <t>SRF</t>
  </si>
  <si>
    <t>Spring inductance estimate according to Wheeler's formula</t>
  </si>
  <si>
    <t>L_series</t>
  </si>
  <si>
    <t>f_compressed</t>
  </si>
  <si>
    <t>f_extended</t>
  </si>
  <si>
    <t>d</t>
  </si>
  <si>
    <t>coil diameter</t>
  </si>
  <si>
    <t>number of turns</t>
  </si>
  <si>
    <t>length</t>
  </si>
  <si>
    <t>codewords difference</t>
  </si>
  <si>
    <t>LDC Calculations Tool</t>
  </si>
  <si>
    <t>Remote Coil Maximum Distance Calculator</t>
  </si>
  <si>
    <t>Placing a capacitor of 10-50pF from the INA/INB pins to ground can mitigate noise issues.</t>
  </si>
  <si>
    <t>µH</t>
  </si>
  <si>
    <t>f</t>
  </si>
  <si>
    <t>Response Time</t>
  </si>
  <si>
    <t>pf</t>
  </si>
  <si>
    <t>Inductance</t>
  </si>
  <si>
    <t>Melting point</t>
  </si>
  <si>
    <t>°F</t>
  </si>
  <si>
    <t>Skin Depth Calculator</t>
  </si>
  <si>
    <t>Material</t>
  </si>
  <si>
    <t>Copper</t>
  </si>
  <si>
    <t>Conductivity</t>
  </si>
  <si>
    <t>µΩ-cm</t>
  </si>
  <si>
    <t>Ωm</t>
  </si>
  <si>
    <t>Relative Permeability</t>
  </si>
  <si>
    <t>u</t>
  </si>
  <si>
    <t>H/m</t>
  </si>
  <si>
    <t>Skin Depth</t>
  </si>
  <si>
    <t>m</t>
  </si>
  <si>
    <t>µm</t>
  </si>
  <si>
    <t>Material Thickness</t>
  </si>
  <si>
    <t xml:space="preserve">m </t>
  </si>
  <si>
    <t>Percentage of Current:</t>
  </si>
  <si>
    <t>skin depths</t>
  </si>
  <si>
    <t>Data Courtesy of Microwaves101.com</t>
  </si>
  <si>
    <t>Bulk resistivity</t>
  </si>
  <si>
    <t>°C</t>
  </si>
  <si>
    <t>Aluminum</t>
  </si>
  <si>
    <t>Al</t>
  </si>
  <si>
    <t>Carbon</t>
  </si>
  <si>
    <t>Chromium</t>
  </si>
  <si>
    <t>Cr</t>
  </si>
  <si>
    <t>Cu</t>
  </si>
  <si>
    <t>Gold</t>
  </si>
  <si>
    <t>Au</t>
  </si>
  <si>
    <t>Iron</t>
  </si>
  <si>
    <t>Fe</t>
  </si>
  <si>
    <t>Lead</t>
  </si>
  <si>
    <t>Pb</t>
  </si>
  <si>
    <t>Magnesium</t>
  </si>
  <si>
    <t>Mg</t>
  </si>
  <si>
    <t>Nickel</t>
  </si>
  <si>
    <t>Ni</t>
  </si>
  <si>
    <t>Nichrome</t>
  </si>
  <si>
    <t>Ni80/Cr20</t>
  </si>
  <si>
    <t>0 to 50</t>
  </si>
  <si>
    <t>Silver</t>
  </si>
  <si>
    <t>Ag</t>
  </si>
  <si>
    <t>Tantalum</t>
  </si>
  <si>
    <t>Ta</t>
  </si>
  <si>
    <t>Tantalum nitride</t>
  </si>
  <si>
    <t>TaN</t>
  </si>
  <si>
    <t>Tin (white)</t>
  </si>
  <si>
    <t>Sn</t>
  </si>
  <si>
    <t>Titanium</t>
  </si>
  <si>
    <t>Ti</t>
  </si>
  <si>
    <t>Tungsten</t>
  </si>
  <si>
    <t>W</t>
  </si>
  <si>
    <t>Zinc</t>
  </si>
  <si>
    <t>Zn</t>
  </si>
  <si>
    <t>Zirconium</t>
  </si>
  <si>
    <t>Zr</t>
  </si>
  <si>
    <t>Skin Depth Calculation</t>
  </si>
  <si>
    <t>Number of Skin Depths:</t>
  </si>
  <si>
    <t>Csensor</t>
  </si>
  <si>
    <r>
      <rPr>
        <sz val="11"/>
        <color theme="1"/>
        <rFont val="Calibri"/>
        <family val="2"/>
      </rPr>
      <t>µ</t>
    </r>
    <r>
      <rPr>
        <sz val="11"/>
        <color theme="1"/>
        <rFont val="Calibri"/>
        <family val="2"/>
        <scheme val="minor"/>
      </rPr>
      <t>H</t>
    </r>
  </si>
  <si>
    <t>Fdelta</t>
  </si>
  <si>
    <t>may be needed to satisfy boundary conditions</t>
  </si>
  <si>
    <t>%</t>
  </si>
  <si>
    <t>Target Material</t>
  </si>
  <si>
    <t>Courtesy of Microwaves101.com</t>
  </si>
  <si>
    <t>Set in Register 0x04</t>
  </si>
  <si>
    <t>LDC output from Registers [0x23:0x25]</t>
  </si>
  <si>
    <t>AC currents remain on the surface of conductor, decaying in an exponential manner. The</t>
  </si>
  <si>
    <t>depth of ~63% of the current is called the skin depth. A higher frequency will have a shallower skin</t>
  </si>
  <si>
    <t>An LDC can use a spring as a sensor, and measure contraction or expansion of the spring.</t>
  </si>
  <si>
    <t>Compressed Spring Settings</t>
  </si>
  <si>
    <t>Spring inductance</t>
  </si>
  <si>
    <t>First, enter the spring mechanical parameters at compressed and extended settings</t>
  </si>
  <si>
    <t xml:space="preserve">then then configure the LDC to calculate the codeword difference; the larger the </t>
  </si>
  <si>
    <t>code word difference between compressed and extended conditions, the more physical</t>
  </si>
  <si>
    <t xml:space="preserve">measurement resolution available. </t>
  </si>
  <si>
    <t>Extended Spring Settings</t>
  </si>
  <si>
    <t>Lmin</t>
  </si>
  <si>
    <t>Lmax</t>
  </si>
  <si>
    <t>Includes the L_series value</t>
  </si>
  <si>
    <t>Note that for some springs, a series inductor may be necessary for a compliant sensor frequency.</t>
  </si>
  <si>
    <t>LDC1000/LDC1041 Inductance Measurement</t>
  </si>
  <si>
    <t>LDC1041</t>
  </si>
  <si>
    <t>PCB thickness between 1st layer and 2nd layer</t>
  </si>
  <si>
    <t>PCB thickness between 2nd layer and 3rd layer</t>
  </si>
  <si>
    <t>PCB thickness between 3rd layer and 4th layer</t>
  </si>
  <si>
    <t>PCB thickness between 4th layer and 5th layer</t>
  </si>
  <si>
    <t>PCB thickness between 5th layer and 6th layer</t>
  </si>
  <si>
    <t>PCB thickness between 6th layer and 7th layer</t>
  </si>
  <si>
    <t>PCB thickness between 7th layer and 8th layer</t>
  </si>
  <si>
    <t>h12</t>
  </si>
  <si>
    <t>h23</t>
  </si>
  <si>
    <t>h34</t>
  </si>
  <si>
    <t>h45</t>
  </si>
  <si>
    <t>h56</t>
  </si>
  <si>
    <t>h67</t>
  </si>
  <si>
    <t>h78</t>
  </si>
  <si>
    <t>Return to Main Page</t>
  </si>
  <si>
    <t>Return to Main page</t>
  </si>
  <si>
    <t>Quick Sensor L/C/f Calculator</t>
  </si>
  <si>
    <t>Sample Rate</t>
  </si>
  <si>
    <t>ksps</t>
  </si>
  <si>
    <t xml:space="preserve">A lower Q sensor (&lt;15) will not be able to work at as a large a distance. </t>
  </si>
  <si>
    <t>IC Max Sensor Frequency:</t>
  </si>
  <si>
    <t>IC Min Sensor Frequency:</t>
  </si>
  <si>
    <t>Cable Velocity Factor:</t>
  </si>
  <si>
    <t>Sensor Frequency:</t>
  </si>
  <si>
    <t>Desired Distance:</t>
  </si>
  <si>
    <t>number of registers to set</t>
  </si>
  <si>
    <t>Number of channels of measurement</t>
  </si>
  <si>
    <t>Normalized Shutdown current</t>
  </si>
  <si>
    <t>Normalized Sleep current</t>
  </si>
  <si>
    <t>Normalized Active current</t>
  </si>
  <si>
    <t>LDC1612/4</t>
  </si>
  <si>
    <t>LDC1312/4</t>
  </si>
  <si>
    <t>LDCs can utilize a remote sensor. This tool calculates the absolute maximum</t>
  </si>
  <si>
    <t>other system characteristics can reduce this range significantly.</t>
  </si>
  <si>
    <t>distance the sensor can be located from the LDC. Note that environmental effects and</t>
  </si>
  <si>
    <t>Response time</t>
  </si>
  <si>
    <t>Reference Count</t>
  </si>
  <si>
    <t>Conversion Time</t>
  </si>
  <si>
    <t>µs</t>
  </si>
  <si>
    <t>Approx Sample Rate</t>
  </si>
  <si>
    <t>Select LDC Device:</t>
  </si>
  <si>
    <t>LDC131x/LDC161x</t>
  </si>
  <si>
    <t>Note: for LDC131x, values greater than 65535 do not provide improved resolution</t>
  </si>
  <si>
    <t>Effective Code Difference</t>
  </si>
  <si>
    <t>fsensor</t>
  </si>
  <si>
    <t>ms</t>
  </si>
  <si>
    <t>I2C Datarate</t>
  </si>
  <si>
    <t>kbit/s</t>
  </si>
  <si>
    <t>Desired Sample Rate</t>
  </si>
  <si>
    <t>Sensor Q (max)</t>
  </si>
  <si>
    <t>POR time</t>
  </si>
  <si>
    <t>I2C config time</t>
  </si>
  <si>
    <t>i2C clocks to configure one register</t>
  </si>
  <si>
    <t>Active mode start time</t>
  </si>
  <si>
    <t>channel switching overhead time</t>
  </si>
  <si>
    <t>total active time per second</t>
  </si>
  <si>
    <t>LDC Device</t>
  </si>
  <si>
    <t>Total I2C IO time (in sleep mode)</t>
  </si>
  <si>
    <t xml:space="preserve">single conversion time  </t>
  </si>
  <si>
    <t>Sensor RP</t>
  </si>
  <si>
    <t>kΩ</t>
  </si>
  <si>
    <t>mA</t>
  </si>
  <si>
    <t>sensor current</t>
  </si>
  <si>
    <t>Shutdown current</t>
  </si>
  <si>
    <t>Sleep current</t>
  </si>
  <si>
    <t>Total Shutdown time</t>
  </si>
  <si>
    <t>This assumes the sensor divider and reference dividers are set to 1.</t>
  </si>
  <si>
    <t>settling time per channel</t>
  </si>
  <si>
    <t>Total Sleep time per second</t>
  </si>
  <si>
    <t>total time per all channels measurement</t>
  </si>
  <si>
    <t>Ideal Settle count</t>
  </si>
  <si>
    <t>LDC161x/LDC131x Current Consumption Estimator</t>
  </si>
  <si>
    <r>
      <rPr>
        <sz val="10"/>
        <color theme="1"/>
        <rFont val="Calibri"/>
        <family val="2"/>
      </rPr>
      <t>µ</t>
    </r>
    <r>
      <rPr>
        <sz val="10"/>
        <color theme="1"/>
        <rFont val="Calibri"/>
        <family val="2"/>
        <scheme val="minor"/>
      </rPr>
      <t>A</t>
    </r>
  </si>
  <si>
    <t>LDC161x Inductive Measurement</t>
  </si>
  <si>
    <t>Conductor Resistivity temperature coef</t>
  </si>
  <si>
    <t>relative Permiablity</t>
  </si>
  <si>
    <t>LDC1000 Sample Rate</t>
  </si>
  <si>
    <t>This tool calculates the sensor frequency and inductance for the Multichannel LDCs</t>
  </si>
  <si>
    <t>ppm/°C</t>
  </si>
  <si>
    <t>Resistivity Tempco (TCR)</t>
  </si>
  <si>
    <t>Composition</t>
  </si>
  <si>
    <t>fullscale resolution</t>
  </si>
  <si>
    <t>LDC131x Gain</t>
  </si>
  <si>
    <t>Value programmed into OFFSET_CHx Register</t>
  </si>
  <si>
    <t>Sensor Capacitance</t>
  </si>
  <si>
    <t>Values below 100pf may exhibit parasitic interactions</t>
  </si>
  <si>
    <t>Reference Divider</t>
  </si>
  <si>
    <t>Fin Divider</t>
  </si>
  <si>
    <t>Select LDC</t>
  </si>
  <si>
    <t>CLKIN Frequency</t>
  </si>
  <si>
    <t>LDC Output Code Calculator</t>
  </si>
  <si>
    <t>TI LDC InductanceCalculator</t>
  </si>
  <si>
    <t>Inductance&amp;Frequency from Output Code</t>
  </si>
  <si>
    <t>LDC Current consumption using Sleep Mode</t>
  </si>
  <si>
    <t>Note on usage of these worksheets:</t>
  </si>
  <si>
    <t>Programed settle count</t>
  </si>
  <si>
    <t>Click on a tool from the list below:</t>
  </si>
  <si>
    <t>Quick Sensor L/C/f Calculator:</t>
  </si>
  <si>
    <t>If you want to minimize the effect of a conductor, use a target thickness of less than 0.5 skin depths</t>
  </si>
  <si>
    <t xml:space="preserve">depth. It is recommended to use a target thickness of at least 3 skin depths for a good LDC measurement. </t>
  </si>
  <si>
    <t>Resonance impedance estimate</t>
  </si>
  <si>
    <t>Quick Sensor Rp/Rs/Q Calculator:</t>
  </si>
  <si>
    <t>Sample Rate Calculator</t>
  </si>
  <si>
    <t>Sensor Inductance</t>
  </si>
  <si>
    <t>Calculated Sensor Frequency</t>
  </si>
  <si>
    <t>Sensor Frequency 
(copy from C11 if desired)</t>
  </si>
  <si>
    <t>Number of Channels</t>
  </si>
  <si>
    <t>bits</t>
  </si>
  <si>
    <t>Conversion Interval</t>
  </si>
  <si>
    <t xml:space="preserve">Device </t>
  </si>
  <si>
    <t>LDC131x Output Gain</t>
  </si>
  <si>
    <t>Only applies to LDC131x</t>
  </si>
  <si>
    <t>LDC1312</t>
  </si>
  <si>
    <t>Approx. L Measurement Resolution</t>
  </si>
  <si>
    <t xml:space="preserve">Note that the resolution calculations are optimum device limitations may not be realized by the system </t>
  </si>
  <si>
    <t>The L and C values can be used to determine the sensor frequency if needed.</t>
  </si>
  <si>
    <t>This tool calculates sample rate and resolution for the LDC.</t>
  </si>
  <si>
    <t>Coil Fill Ratio</t>
  </si>
  <si>
    <t>Outer diameter of inductor in mm</t>
  </si>
  <si>
    <t>din/dout</t>
  </si>
  <si>
    <r>
      <t>Reminder: 1oz copper is ~35</t>
    </r>
    <r>
      <rPr>
        <sz val="11"/>
        <color theme="1"/>
        <rFont val="Calibri"/>
        <family val="2"/>
      </rPr>
      <t>µm thick.</t>
    </r>
  </si>
  <si>
    <t>Enter values or select settings in yellow cells only.</t>
  </si>
  <si>
    <t>Results provided in Orange cells. Do not edit these fields.</t>
  </si>
  <si>
    <t>Intermediate Calculation cells. Do not edit.</t>
  </si>
  <si>
    <t>Sensor Parameters:</t>
  </si>
  <si>
    <t>Lsensor (No Target)</t>
  </si>
  <si>
    <t>Lsensor (Closest target)</t>
  </si>
  <si>
    <t>Fsensor(Closest target)</t>
  </si>
  <si>
    <t xml:space="preserve">Qmax = </t>
  </si>
  <si>
    <t>C1 (initial) =</t>
  </si>
  <si>
    <t>C1 (final) =</t>
  </si>
  <si>
    <t>R1 (initial)=</t>
  </si>
  <si>
    <t>R1 (final) =</t>
  </si>
  <si>
    <t>C2 (initial) =</t>
  </si>
  <si>
    <t>C2 (final) =</t>
  </si>
  <si>
    <t>R2 (initial) =</t>
  </si>
  <si>
    <t>R2 (final) =</t>
  </si>
  <si>
    <t>Limits and Parameters</t>
  </si>
  <si>
    <t>pico</t>
  </si>
  <si>
    <t>micro</t>
  </si>
  <si>
    <t>Mega</t>
  </si>
  <si>
    <t>Limits</t>
  </si>
  <si>
    <t>Min</t>
  </si>
  <si>
    <t>Max</t>
  </si>
  <si>
    <t>Lsensor</t>
  </si>
  <si>
    <t>Fosc</t>
  </si>
  <si>
    <t>Qsensor</t>
  </si>
  <si>
    <t>Rpparasitic</t>
  </si>
  <si>
    <t>Vamp</t>
  </si>
  <si>
    <t>Vswing</t>
  </si>
  <si>
    <t>K1 limits</t>
  </si>
  <si>
    <t>F1</t>
  </si>
  <si>
    <t>K1=F1/Fosc</t>
  </si>
  <si>
    <t>RP Listing</t>
  </si>
  <si>
    <t>C1 List</t>
  </si>
  <si>
    <t>C2 List</t>
  </si>
  <si>
    <r>
      <t>k</t>
    </r>
    <r>
      <rPr>
        <sz val="10"/>
        <color theme="1"/>
        <rFont val="Calibri"/>
        <family val="2"/>
      </rPr>
      <t>Ω</t>
    </r>
  </si>
  <si>
    <t>RpMIN Setting</t>
  </si>
  <si>
    <t>RpMAX Setting</t>
  </si>
  <si>
    <t>Spring Sensor Calculation Tool</t>
  </si>
  <si>
    <t>Spring Sensor Calculator Tool</t>
  </si>
  <si>
    <t>For the LDC131x/LDC161x, set the input deglitch filter appropriately (Register 0x1B[2:0]).</t>
  </si>
  <si>
    <t>Target Movement Change:</t>
  </si>
  <si>
    <t>LDC1101</t>
  </si>
  <si>
    <t>(registers 0x10:0x13)</t>
  </si>
  <si>
    <t>LDC Current consumption using Shutdown Mode</t>
  </si>
  <si>
    <t xml:space="preserve">This tool calculates the sensor frequency and inductance for the LDC1000/1041/1051. </t>
  </si>
  <si>
    <t>It can calculate the RP+L results for the LDC1101.</t>
  </si>
  <si>
    <t>Max Ref Frequency</t>
  </si>
  <si>
    <t>Max Sensor Frequency</t>
  </si>
  <si>
    <t>LDC131x/LDC161x/LDC1101LHR Inductance Calculator</t>
  </si>
  <si>
    <t>LDC1000/1041/LDC1101(RP+L) Inductance Calculator</t>
  </si>
  <si>
    <t>Calculate the L or RP measurement based on device output code and device settings.</t>
  </si>
  <si>
    <t>RP Max setting</t>
  </si>
  <si>
    <t>RP Min Setting</t>
  </si>
  <si>
    <t>LDC1000RP_SETTING(kΩ)</t>
  </si>
  <si>
    <t>LDC1101 RP Setting</t>
  </si>
  <si>
    <t>Active RP List</t>
  </si>
  <si>
    <t>kΩ</t>
  </si>
  <si>
    <t>LDC1101 RP Calculation</t>
  </si>
  <si>
    <t>Max output code</t>
  </si>
  <si>
    <t>LDC1000/10x1 RP Calc</t>
  </si>
  <si>
    <t>RP Decimal Output Code</t>
  </si>
  <si>
    <t>Max fCLKIN</t>
  </si>
  <si>
    <t>It also calculates the output for the LDC1101 LHR conversion result.</t>
  </si>
  <si>
    <t>(value in registers 0x08:0x0B)</t>
  </si>
  <si>
    <t>Hex</t>
  </si>
  <si>
    <t>LDC1000/1041/1051/1101 Sample Rate from Device Settings</t>
  </si>
  <si>
    <t>Sensor capacitance</t>
  </si>
  <si>
    <t>Number of channels</t>
  </si>
  <si>
    <t>LDC161x/LDC131x/LDC1101(LHR) Sample Rate</t>
  </si>
  <si>
    <t>For reference only; enter value into cell below</t>
  </si>
  <si>
    <t>Register TC1 setting</t>
  </si>
  <si>
    <t>Address 0x02</t>
  </si>
  <si>
    <t>Address 0x03</t>
  </si>
  <si>
    <t>Register TC2 setting</t>
  </si>
  <si>
    <t>Register RP_SET setting</t>
  </si>
  <si>
    <t>Address 0x01</t>
  </si>
  <si>
    <t>Lvariation</t>
  </si>
  <si>
    <r>
      <t>this is typically 80%</t>
    </r>
    <r>
      <rPr>
        <sz val="10"/>
        <color theme="1"/>
        <rFont val="Calibri"/>
        <family val="2"/>
      </rPr>
      <t>≤ x</t>
    </r>
    <r>
      <rPr>
        <sz val="10"/>
        <color theme="1"/>
        <rFont val="Calibri"/>
        <family val="2"/>
        <scheme val="minor"/>
      </rPr>
      <t xml:space="preserve"> ≤100%</t>
    </r>
  </si>
  <si>
    <r>
      <t>k</t>
    </r>
    <r>
      <rPr>
        <sz val="9"/>
        <color theme="1"/>
        <rFont val="Calibri"/>
        <family val="2"/>
      </rPr>
      <t>Ω</t>
    </r>
  </si>
  <si>
    <t>R1 Range</t>
  </si>
  <si>
    <t>R2 Range</t>
  </si>
  <si>
    <t>Decimal</t>
  </si>
  <si>
    <t xml:space="preserve">Set this value in Register 0x04 </t>
  </si>
  <si>
    <r>
      <t>this is typically 98%</t>
    </r>
    <r>
      <rPr>
        <sz val="10"/>
        <color theme="1"/>
        <rFont val="Calibri"/>
        <family val="2"/>
      </rPr>
      <t>≤ x</t>
    </r>
    <r>
      <rPr>
        <sz val="10"/>
        <color theme="1"/>
        <rFont val="Calibri"/>
        <family val="2"/>
        <scheme val="minor"/>
      </rPr>
      <t xml:space="preserve"> ≤100%: This is the Resistive shift only, ignoring any L shift</t>
    </r>
  </si>
  <si>
    <t>decimal</t>
  </si>
  <si>
    <r>
      <t>LDC1000/1041/1051/LDC1101(RP+L) R</t>
    </r>
    <r>
      <rPr>
        <b/>
        <vertAlign val="subscript"/>
        <sz val="11"/>
        <color theme="1"/>
        <rFont val="Calibri"/>
        <family val="2"/>
        <scheme val="minor"/>
      </rPr>
      <t>P</t>
    </r>
    <r>
      <rPr>
        <b/>
        <sz val="11"/>
        <color theme="1"/>
        <rFont val="Calibri"/>
        <family val="2"/>
        <scheme val="minor"/>
      </rPr>
      <t xml:space="preserve"> Calculator</t>
    </r>
  </si>
  <si>
    <r>
      <t>R</t>
    </r>
    <r>
      <rPr>
        <b/>
        <i/>
        <vertAlign val="subscript"/>
        <sz val="11"/>
        <rFont val="Calibri"/>
        <family val="2"/>
        <scheme val="minor"/>
      </rPr>
      <t>P</t>
    </r>
    <r>
      <rPr>
        <b/>
        <i/>
        <sz val="11"/>
        <rFont val="Calibri"/>
        <family val="2"/>
        <scheme val="minor"/>
      </rPr>
      <t xml:space="preserve"> Measurement</t>
    </r>
  </si>
  <si>
    <r>
      <rPr>
        <i/>
        <sz val="11"/>
        <color theme="1"/>
        <rFont val="Calibri"/>
        <family val="2"/>
        <scheme val="minor"/>
      </rPr>
      <t>f</t>
    </r>
    <r>
      <rPr>
        <vertAlign val="subscript"/>
        <sz val="11"/>
        <color theme="1"/>
        <rFont val="Calibri"/>
        <family val="2"/>
        <scheme val="minor"/>
      </rPr>
      <t>REFERENCE</t>
    </r>
    <r>
      <rPr>
        <sz val="11"/>
        <color theme="1"/>
        <rFont val="Calibri"/>
        <family val="2"/>
        <scheme val="minor"/>
      </rPr>
      <t xml:space="preserve"> input to CLKIN</t>
    </r>
  </si>
  <si>
    <t>Stainless Steel 316</t>
  </si>
  <si>
    <r>
      <t>µ</t>
    </r>
    <r>
      <rPr>
        <b/>
        <i/>
        <vertAlign val="subscript"/>
        <sz val="11"/>
        <color theme="1"/>
        <rFont val="Calibri"/>
        <family val="2"/>
        <scheme val="minor"/>
      </rPr>
      <t>r</t>
    </r>
  </si>
  <si>
    <t>FeCNiCrMo</t>
  </si>
  <si>
    <t>hex</t>
  </si>
  <si>
    <t>Effective settle count</t>
  </si>
  <si>
    <t>0AB123</t>
  </si>
  <si>
    <t>LDC161x</t>
  </si>
  <si>
    <t>Values below 100pf more likely to encounter parasitic interactions</t>
  </si>
  <si>
    <t>Stainless Steel 430</t>
  </si>
  <si>
    <t>Low carbon Steel 1006</t>
  </si>
  <si>
    <t>https://e2e.ti.com/blogs_/b/analogwire/archive/2014/06/10/inductive-sensing-how-to-use-a-tiny-2mm-pcb-inductor-as-a-sensor</t>
  </si>
  <si>
    <t>Programmed RCOUNT Register Value</t>
  </si>
  <si>
    <t>Note: LDC1000EVM uses 6MHz; LDC1101EVM uses 12MHz</t>
  </si>
  <si>
    <t>Vpk</t>
  </si>
  <si>
    <t>Sensor IDRIVEx setting</t>
  </si>
  <si>
    <t>Note: lower settings will reduce the SNR of the sensor</t>
  </si>
  <si>
    <t>V</t>
  </si>
  <si>
    <t>Sensor Amplitude Calculator</t>
  </si>
  <si>
    <t>decimal RCOUNT</t>
  </si>
  <si>
    <t>Device Sample Rate</t>
  </si>
  <si>
    <t>kSPS</t>
  </si>
  <si>
    <t>Desired Sensor Amplitude</t>
  </si>
  <si>
    <t>Sensor Q</t>
  </si>
  <si>
    <t>Single Conversion time</t>
  </si>
  <si>
    <t>Estimated Sensor Signal Amplitude</t>
  </si>
  <si>
    <t>Recommended setting 1.8V</t>
  </si>
  <si>
    <t>LDC131x/LDC161x Sensor Configuration Tool</t>
  </si>
  <si>
    <r>
      <rPr>
        <i/>
        <sz val="11"/>
        <color theme="1"/>
        <rFont val="Calibri"/>
        <family val="2"/>
        <scheme val="minor"/>
      </rPr>
      <t>f</t>
    </r>
    <r>
      <rPr>
        <vertAlign val="subscript"/>
        <sz val="11"/>
        <color theme="1"/>
        <rFont val="Calibri"/>
        <family val="2"/>
        <scheme val="minor"/>
      </rPr>
      <t>REFERENCE</t>
    </r>
    <r>
      <rPr>
        <sz val="11"/>
        <color theme="1"/>
        <rFont val="Calibri"/>
        <family val="2"/>
        <scheme val="minor"/>
      </rPr>
      <t xml:space="preserve"> </t>
    </r>
  </si>
  <si>
    <t>Maximum Reference Frequency</t>
  </si>
  <si>
    <t>Max fSENSOR</t>
  </si>
  <si>
    <t>decimal settle count</t>
  </si>
  <si>
    <t>Maximum Device Reference frequency</t>
  </si>
  <si>
    <t>LDC131x/LDC161x Sensor Configuration</t>
  </si>
  <si>
    <t>This tool can be used to estimate the appropriate current drive setting</t>
  </si>
  <si>
    <t>Recommended Settle Count Register Setting</t>
  </si>
  <si>
    <t>Conversion readback time (in active mode; includes sleep command)</t>
  </si>
  <si>
    <t>33f1</t>
  </si>
  <si>
    <r>
      <t>Assumes 25</t>
    </r>
    <r>
      <rPr>
        <b/>
        <sz val="11"/>
        <color theme="1"/>
        <rFont val="Calibri"/>
        <family val="2"/>
      </rPr>
      <t>°</t>
    </r>
    <r>
      <rPr>
        <b/>
        <sz val="11"/>
        <color theme="1"/>
        <rFont val="Calibri"/>
        <family val="2"/>
        <scheme val="minor"/>
      </rPr>
      <t>C environment</t>
    </r>
  </si>
  <si>
    <t>Device Active current (mA)</t>
  </si>
  <si>
    <t>Total Active current - with sensor (mA)</t>
  </si>
  <si>
    <t>Outer diameter of the inductor (short side)</t>
  </si>
  <si>
    <t>ratio of long edge to short edge (&gt;=1)</t>
  </si>
  <si>
    <t>ratio of area to unit circle</t>
  </si>
  <si>
    <t>0.2&gt;  &gt;0.8 is recommended</t>
  </si>
  <si>
    <t>Rs</t>
  </si>
  <si>
    <t>Target Distance</t>
  </si>
  <si>
    <t>D</t>
  </si>
  <si>
    <t>Target Distance/Sensor Diameter Ratio</t>
  </si>
  <si>
    <t>RP Adjust Factor</t>
  </si>
  <si>
    <t>RP Adjust Factor (clipped)</t>
  </si>
  <si>
    <t>Target Conductivity (composition &amp; thickness)</t>
  </si>
  <si>
    <t>Sensor Inductance from Target Interaction</t>
  </si>
  <si>
    <t>L'</t>
  </si>
  <si>
    <t>Sensor Frequency with Target Interaction</t>
  </si>
  <si>
    <t>Rp with Target Interation</t>
  </si>
  <si>
    <t>Q Factor with target</t>
  </si>
  <si>
    <t>Q'</t>
  </si>
  <si>
    <t>For aluminum target of at least 5 skin depths</t>
  </si>
  <si>
    <t>LC Sensor calculations</t>
  </si>
  <si>
    <t>Sensor Diameter</t>
  </si>
  <si>
    <t>sec</t>
  </si>
  <si>
    <t>sps</t>
  </si>
  <si>
    <t>Supply Voltage</t>
  </si>
  <si>
    <t>Sensor Diameter in mm</t>
  </si>
  <si>
    <t>Target distance in mm</t>
  </si>
  <si>
    <t>lifetime</t>
  </si>
  <si>
    <t>years</t>
  </si>
  <si>
    <t>iaverage</t>
  </si>
  <si>
    <t>uA</t>
  </si>
  <si>
    <r>
      <t>I</t>
    </r>
    <r>
      <rPr>
        <vertAlign val="subscript"/>
        <sz val="11"/>
        <color theme="1"/>
        <rFont val="Calibri"/>
        <family val="2"/>
        <scheme val="minor"/>
      </rPr>
      <t>static</t>
    </r>
  </si>
  <si>
    <t>A</t>
  </si>
  <si>
    <r>
      <t>I</t>
    </r>
    <r>
      <rPr>
        <vertAlign val="subscript"/>
        <sz val="11"/>
        <color theme="1"/>
        <rFont val="Calibri"/>
        <family val="2"/>
        <scheme val="minor"/>
      </rPr>
      <t>dyn</t>
    </r>
  </si>
  <si>
    <r>
      <t>I</t>
    </r>
    <r>
      <rPr>
        <vertAlign val="subscript"/>
        <sz val="11"/>
        <color theme="1"/>
        <rFont val="Calibri"/>
        <family val="2"/>
        <scheme val="minor"/>
      </rPr>
      <t>DD</t>
    </r>
  </si>
  <si>
    <r>
      <t>I</t>
    </r>
    <r>
      <rPr>
        <vertAlign val="subscript"/>
        <sz val="11"/>
        <color theme="1"/>
        <rFont val="Calibri"/>
        <family val="2"/>
        <scheme val="minor"/>
      </rPr>
      <t>SD</t>
    </r>
  </si>
  <si>
    <t>Given in electrical table as typ 0.140µA</t>
  </si>
  <si>
    <r>
      <t>t</t>
    </r>
    <r>
      <rPr>
        <vertAlign val="subscript"/>
        <sz val="11"/>
        <color theme="1"/>
        <rFont val="Calibri"/>
        <family val="2"/>
        <scheme val="minor"/>
      </rPr>
      <t>AMT</t>
    </r>
  </si>
  <si>
    <t>Given in datasheet as 450µs</t>
  </si>
  <si>
    <r>
      <t>t</t>
    </r>
    <r>
      <rPr>
        <vertAlign val="subscript"/>
        <sz val="11"/>
        <color theme="1"/>
        <rFont val="Calibri"/>
        <family val="2"/>
        <scheme val="minor"/>
      </rPr>
      <t>CONV</t>
    </r>
  </si>
  <si>
    <r>
      <t>I</t>
    </r>
    <r>
      <rPr>
        <vertAlign val="subscript"/>
        <sz val="11"/>
        <color theme="1"/>
        <rFont val="Calibri"/>
        <family val="2"/>
        <scheme val="minor"/>
      </rPr>
      <t>ON</t>
    </r>
  </si>
  <si>
    <r>
      <t>I</t>
    </r>
    <r>
      <rPr>
        <vertAlign val="subscript"/>
        <sz val="11"/>
        <color theme="1"/>
        <rFont val="Calibri"/>
        <family val="2"/>
        <scheme val="minor"/>
      </rPr>
      <t>RAMP</t>
    </r>
  </si>
  <si>
    <r>
      <t>I</t>
    </r>
    <r>
      <rPr>
        <vertAlign val="subscript"/>
        <sz val="11"/>
        <color theme="1"/>
        <rFont val="Calibri"/>
        <family val="2"/>
        <scheme val="minor"/>
      </rPr>
      <t>OFF</t>
    </r>
  </si>
  <si>
    <r>
      <t>I</t>
    </r>
    <r>
      <rPr>
        <vertAlign val="subscript"/>
        <sz val="11"/>
        <color theme="1"/>
        <rFont val="Calibri"/>
        <family val="2"/>
        <scheme val="minor"/>
      </rPr>
      <t>AVG</t>
    </r>
  </si>
  <si>
    <t>Acceptable minimum L</t>
  </si>
  <si>
    <t>target distance/sensor diam</t>
  </si>
  <si>
    <t>Inductance scaling factor</t>
  </si>
  <si>
    <t>Bounds limited scaling factor</t>
  </si>
  <si>
    <t>Continuous Sample Rate</t>
  </si>
  <si>
    <t>Conversion Latency</t>
  </si>
  <si>
    <t>Inductance with Target Interaction</t>
  </si>
  <si>
    <t>LDC0851 Calculator Tool</t>
  </si>
  <si>
    <t>Csensor &lt; 33pF</t>
  </si>
  <si>
    <t>Min L drive</t>
  </si>
  <si>
    <t>Fsensor</t>
  </si>
  <si>
    <t>Operating Point frequency</t>
  </si>
  <si>
    <t>Operating point L</t>
  </si>
  <si>
    <t>Closest Target Distance</t>
  </si>
  <si>
    <t>Desired On Switching distance mm</t>
  </si>
  <si>
    <t>Max Sensor Frequency with target</t>
  </si>
  <si>
    <t>Switch Off Distance in mm</t>
  </si>
  <si>
    <t>On</t>
  </si>
  <si>
    <t>Off</t>
  </si>
  <si>
    <t>Approx Switch On Distance</t>
  </si>
  <si>
    <t>Approx Switch Off Distance</t>
  </si>
  <si>
    <t>Max Sensor Current Drive</t>
  </si>
  <si>
    <t>Recommended ADJ Code</t>
  </si>
  <si>
    <r>
      <t>External Sensor Capacitance (C</t>
    </r>
    <r>
      <rPr>
        <vertAlign val="subscript"/>
        <sz val="11"/>
        <rFont val="Calibri"/>
        <family val="2"/>
        <scheme val="minor"/>
      </rPr>
      <t>SENSOR</t>
    </r>
    <r>
      <rPr>
        <sz val="11"/>
        <rFont val="Calibri"/>
        <family val="2"/>
        <scheme val="minor"/>
      </rPr>
      <t>)</t>
    </r>
  </si>
  <si>
    <r>
      <t>Parasitic PCB capacitance (C</t>
    </r>
    <r>
      <rPr>
        <vertAlign val="subscript"/>
        <sz val="11"/>
        <rFont val="Calibri"/>
        <family val="2"/>
        <scheme val="minor"/>
      </rPr>
      <t>BOARD</t>
    </r>
    <r>
      <rPr>
        <sz val="11"/>
        <rFont val="Calibri"/>
        <family val="2"/>
        <scheme val="minor"/>
      </rPr>
      <t>)</t>
    </r>
  </si>
  <si>
    <t>LDC0851 Design Space Calculator</t>
  </si>
  <si>
    <t>This tool determines appropriate device settings and sensor settings</t>
  </si>
  <si>
    <t xml:space="preserve">for optimum LDC0851 usage. </t>
  </si>
  <si>
    <t xml:space="preserve">Long side of inductor </t>
  </si>
  <si>
    <t>Est. Inductance with Target Interaction</t>
  </si>
  <si>
    <t>Approx.Full Scale Resolution</t>
  </si>
  <si>
    <t>Max Reference Count</t>
  </si>
  <si>
    <r>
      <t>Total Capacitance (C</t>
    </r>
    <r>
      <rPr>
        <vertAlign val="subscript"/>
        <sz val="11"/>
        <rFont val="Calibri"/>
        <family val="2"/>
        <scheme val="minor"/>
      </rPr>
      <t>TOTAL</t>
    </r>
    <r>
      <rPr>
        <sz val="11"/>
        <rFont val="Calibri"/>
        <family val="2"/>
        <scheme val="minor"/>
      </rPr>
      <t>)</t>
    </r>
  </si>
  <si>
    <t>ADJ Code</t>
  </si>
  <si>
    <t>Switch OFF Normalized</t>
  </si>
  <si>
    <t>Switch ON Normalized</t>
  </si>
  <si>
    <t>Approx Switch OFF</t>
  </si>
  <si>
    <t>Approx Switch ON</t>
  </si>
  <si>
    <t>Desired Switching</t>
  </si>
  <si>
    <t>Closest Target Disance</t>
  </si>
  <si>
    <t>Optimum ADC code from switch distance</t>
  </si>
  <si>
    <t>Approx Switch on distance in mm</t>
  </si>
  <si>
    <t>Verify switching distance in travel range</t>
  </si>
  <si>
    <r>
      <t>R</t>
    </r>
    <r>
      <rPr>
        <vertAlign val="subscript"/>
        <sz val="11"/>
        <color theme="1"/>
        <rFont val="Calibri"/>
        <family val="2"/>
        <scheme val="minor"/>
      </rPr>
      <t>P</t>
    </r>
    <r>
      <rPr>
        <sz val="11"/>
        <color theme="1"/>
        <rFont val="Calibri"/>
        <family val="2"/>
        <scheme val="minor"/>
      </rPr>
      <t>variation</t>
    </r>
  </si>
  <si>
    <r>
      <t>R</t>
    </r>
    <r>
      <rPr>
        <vertAlign val="subscript"/>
        <sz val="11"/>
        <color theme="1"/>
        <rFont val="Calibri"/>
        <family val="2"/>
        <scheme val="minor"/>
      </rPr>
      <t>P-PARASITIC</t>
    </r>
  </si>
  <si>
    <r>
      <t>Q</t>
    </r>
    <r>
      <rPr>
        <vertAlign val="subscript"/>
        <sz val="11"/>
        <color theme="1"/>
        <rFont val="Calibri"/>
        <family val="2"/>
        <scheme val="minor"/>
      </rPr>
      <t>MIN</t>
    </r>
    <r>
      <rPr>
        <sz val="11"/>
        <color theme="1"/>
        <rFont val="Calibri"/>
        <family val="2"/>
        <scheme val="minor"/>
      </rPr>
      <t xml:space="preserve"> =</t>
    </r>
  </si>
  <si>
    <t>Estimator tool for racetrack spiral coils. This tool is provided without warranty or support. User assumes all liability.</t>
  </si>
  <si>
    <r>
      <rPr>
        <sz val="12"/>
        <color indexed="8"/>
        <rFont val="Calibri"/>
        <family val="2"/>
      </rPr>
      <t>°</t>
    </r>
    <r>
      <rPr>
        <sz val="12"/>
        <color indexed="8"/>
        <rFont val="Calibri"/>
        <family val="2"/>
      </rPr>
      <t>C</t>
    </r>
  </si>
  <si>
    <r>
      <t>Number of layers on PCB board (1≤M</t>
    </r>
    <r>
      <rPr>
        <sz val="12"/>
        <color indexed="8"/>
        <rFont val="Calibri"/>
        <family val="2"/>
      </rPr>
      <t>≤</t>
    </r>
    <r>
      <rPr>
        <sz val="12"/>
        <color indexed="8"/>
        <rFont val="Calibri"/>
        <family val="2"/>
      </rPr>
      <t>8)</t>
    </r>
  </si>
  <si>
    <r>
      <t>d</t>
    </r>
    <r>
      <rPr>
        <vertAlign val="subscript"/>
        <sz val="11"/>
        <color indexed="8"/>
        <rFont val="Calibri"/>
        <family val="2"/>
      </rPr>
      <t>OUT</t>
    </r>
  </si>
  <si>
    <r>
      <t>d</t>
    </r>
    <r>
      <rPr>
        <vertAlign val="subscript"/>
        <sz val="11"/>
        <color indexed="8"/>
        <rFont val="Calibri"/>
        <family val="2"/>
      </rPr>
      <t>L</t>
    </r>
  </si>
  <si>
    <r>
      <t>Inductance Sum (</t>
    </r>
    <r>
      <rPr>
        <b/>
        <sz val="11"/>
        <color indexed="52"/>
        <rFont val="Calibri"/>
        <family val="2"/>
      </rPr>
      <t>µ</t>
    </r>
    <r>
      <rPr>
        <b/>
        <sz val="11"/>
        <color indexed="52"/>
        <rFont val="Calibri"/>
        <family val="2"/>
      </rPr>
      <t>H)</t>
    </r>
  </si>
  <si>
    <r>
      <rPr>
        <sz val="9"/>
        <color indexed="8"/>
        <rFont val="Calibri"/>
        <family val="2"/>
      </rPr>
      <t>Ω</t>
    </r>
    <r>
      <rPr>
        <sz val="9"/>
        <color indexed="8"/>
        <rFont val="Calibri"/>
        <family val="2"/>
      </rPr>
      <t>m</t>
    </r>
  </si>
  <si>
    <r>
      <rPr>
        <sz val="10"/>
        <color indexed="8"/>
        <rFont val="Calibri"/>
        <family val="2"/>
      </rPr>
      <t>µ</t>
    </r>
    <r>
      <rPr>
        <sz val="10"/>
        <color indexed="8"/>
        <rFont val="Calibri"/>
        <family val="2"/>
      </rPr>
      <t>H</t>
    </r>
  </si>
  <si>
    <r>
      <t>Total Inductance (</t>
    </r>
    <r>
      <rPr>
        <b/>
        <sz val="12"/>
        <color indexed="17"/>
        <rFont val="Calibri"/>
        <family val="2"/>
      </rPr>
      <t>µ</t>
    </r>
    <r>
      <rPr>
        <b/>
        <sz val="12"/>
        <color indexed="17"/>
        <rFont val="Calibri"/>
        <family val="2"/>
      </rPr>
      <t>H)</t>
    </r>
  </si>
  <si>
    <r>
      <t>L</t>
    </r>
    <r>
      <rPr>
        <vertAlign val="subscript"/>
        <sz val="11"/>
        <color indexed="8"/>
        <rFont val="Calibri"/>
        <family val="2"/>
      </rPr>
      <t>TOTAL</t>
    </r>
  </si>
  <si>
    <r>
      <rPr>
        <b/>
        <sz val="10"/>
        <color indexed="8"/>
        <rFont val="Calibri"/>
        <family val="2"/>
      </rPr>
      <t>µ</t>
    </r>
    <r>
      <rPr>
        <b/>
        <sz val="10"/>
        <color indexed="8"/>
        <rFont val="Calibri"/>
        <family val="2"/>
      </rPr>
      <t>H</t>
    </r>
  </si>
  <si>
    <t>Rp with no Target</t>
  </si>
  <si>
    <t>Skin depth at new sensor frequency</t>
  </si>
  <si>
    <t>sd'</t>
  </si>
  <si>
    <t>New Rs based on skin effect</t>
  </si>
  <si>
    <t xml:space="preserve">New Rp </t>
  </si>
  <si>
    <t>SRF must be &gt;1.25*Fsensor</t>
  </si>
  <si>
    <t>Device Min Fsensor</t>
  </si>
  <si>
    <t>Device Max Fsensor</t>
  </si>
  <si>
    <t>Device Min Rp</t>
  </si>
  <si>
    <t>Device Max Rp</t>
  </si>
  <si>
    <t>Device Min Q</t>
  </si>
  <si>
    <t>Device Max Q</t>
  </si>
  <si>
    <t>LDC2114</t>
  </si>
  <si>
    <t>MinRp</t>
  </si>
  <si>
    <t>MaxRp</t>
  </si>
  <si>
    <t>MinQ</t>
  </si>
  <si>
    <t>MaxQ</t>
  </si>
  <si>
    <t>MinFs</t>
  </si>
  <si>
    <t>MaxFs</t>
  </si>
  <si>
    <t>Sensor Operating Frequency no target</t>
  </si>
  <si>
    <t>Total Inductance with no target</t>
  </si>
  <si>
    <t>LDC1314</t>
  </si>
  <si>
    <t>LDC1612</t>
  </si>
  <si>
    <t>Max Datarate</t>
  </si>
  <si>
    <t>LDC1614</t>
  </si>
  <si>
    <t>Min Sample Interval</t>
  </si>
  <si>
    <t>Set to 1 for circular sensor</t>
  </si>
  <si>
    <t>Max Fref</t>
  </si>
  <si>
    <t>Max num Channels</t>
  </si>
  <si>
    <t>Oversample ratio</t>
  </si>
  <si>
    <t>RPM</t>
  </si>
  <si>
    <t>Maximum Rotation speed</t>
  </si>
  <si>
    <t>Enter sensor configuration information above to ensure valid results</t>
  </si>
  <si>
    <t>Effective Number of teeth/blades</t>
  </si>
  <si>
    <t>°</t>
  </si>
  <si>
    <t>Minimum Angle for Gap between events</t>
  </si>
  <si>
    <r>
      <t>Minimum Angle for one event (</t>
    </r>
    <r>
      <rPr>
        <sz val="11"/>
        <color theme="1"/>
        <rFont val="Calibri"/>
        <family val="2"/>
      </rPr>
      <t>ΘGAP)</t>
    </r>
  </si>
  <si>
    <t>LDC0851 Sample Rate</t>
  </si>
  <si>
    <t>Deflection estimate based on mechanics of ideal clamped plate.</t>
  </si>
  <si>
    <t>button_materials</t>
  </si>
  <si>
    <t xml:space="preserve">E (GPa) </t>
  </si>
  <si>
    <t>nu (-)</t>
  </si>
  <si>
    <t>button diameter (circular button)</t>
  </si>
  <si>
    <t>ABS plastic</t>
  </si>
  <si>
    <t>button width (rectangular button)</t>
  </si>
  <si>
    <t>button height (rectangular button)</t>
  </si>
  <si>
    <t>h</t>
  </si>
  <si>
    <t>mat</t>
  </si>
  <si>
    <t>button material</t>
  </si>
  <si>
    <t>E</t>
  </si>
  <si>
    <t>-</t>
  </si>
  <si>
    <t>button_shapes</t>
  </si>
  <si>
    <t>Button Force</t>
  </si>
  <si>
    <t>force</t>
  </si>
  <si>
    <t>type of button force</t>
  </si>
  <si>
    <t>force magnitude</t>
  </si>
  <si>
    <t>Button Compliance</t>
  </si>
  <si>
    <t>force_functions</t>
  </si>
  <si>
    <t>point</t>
  </si>
  <si>
    <t>uniform</t>
  </si>
  <si>
    <t>b/a</t>
  </si>
  <si>
    <t>area</t>
  </si>
  <si>
    <t>Pa</t>
  </si>
  <si>
    <t>1/knp</t>
  </si>
  <si>
    <t>1/k</t>
  </si>
  <si>
    <t>Ccom-min</t>
  </si>
  <si>
    <t>Ccom-max</t>
  </si>
  <si>
    <t>Min Ccom</t>
  </si>
  <si>
    <t>Max Ccom</t>
  </si>
  <si>
    <t>Ccom</t>
  </si>
  <si>
    <r>
      <t>C</t>
    </r>
    <r>
      <rPr>
        <vertAlign val="subscript"/>
        <sz val="11"/>
        <color theme="1"/>
        <rFont val="Calibri"/>
        <family val="2"/>
        <scheme val="minor"/>
      </rPr>
      <t>com</t>
    </r>
    <r>
      <rPr>
        <sz val="11"/>
        <color theme="1"/>
        <rFont val="Calibri"/>
        <family val="2"/>
        <scheme val="minor"/>
      </rPr>
      <t xml:space="preserve"> Value (with Target)</t>
    </r>
  </si>
  <si>
    <t>r/a</t>
  </si>
  <si>
    <t>Scale</t>
  </si>
  <si>
    <t>X-Axis</t>
  </si>
  <si>
    <t>nF</t>
  </si>
  <si>
    <t>Other</t>
  </si>
  <si>
    <t>Self resonant frequency (estimated)</t>
  </si>
  <si>
    <r>
      <t>d</t>
    </r>
    <r>
      <rPr>
        <vertAlign val="subscript"/>
        <sz val="11"/>
        <color theme="1"/>
        <rFont val="Calibri"/>
        <family val="2"/>
        <scheme val="minor"/>
      </rPr>
      <t>L</t>
    </r>
    <r>
      <rPr>
        <sz val="11"/>
        <color theme="1"/>
        <rFont val="Calibri"/>
        <family val="2"/>
        <scheme val="minor"/>
      </rPr>
      <t>/d</t>
    </r>
    <r>
      <rPr>
        <vertAlign val="subscript"/>
        <sz val="11"/>
        <color theme="1"/>
        <rFont val="Calibri"/>
        <family val="2"/>
        <scheme val="minor"/>
      </rPr>
      <t>OUT</t>
    </r>
  </si>
  <si>
    <r>
      <rPr>
        <i/>
        <sz val="11"/>
        <color theme="1"/>
        <rFont val="Calibri"/>
        <family val="2"/>
        <scheme val="minor"/>
      </rPr>
      <t>f</t>
    </r>
    <r>
      <rPr>
        <vertAlign val="subscript"/>
        <sz val="11"/>
        <color theme="1"/>
        <rFont val="Calibri"/>
        <family val="2"/>
        <scheme val="minor"/>
      </rPr>
      <t>RES</t>
    </r>
  </si>
  <si>
    <r>
      <rPr>
        <i/>
        <sz val="11"/>
        <color theme="1"/>
        <rFont val="Calibri"/>
        <family val="2"/>
        <scheme val="minor"/>
      </rPr>
      <t>f</t>
    </r>
    <r>
      <rPr>
        <vertAlign val="subscript"/>
        <sz val="11"/>
        <color theme="1"/>
        <rFont val="Calibri"/>
        <family val="2"/>
        <scheme val="minor"/>
      </rPr>
      <t>RES</t>
    </r>
    <r>
      <rPr>
        <sz val="11"/>
        <color theme="1"/>
        <rFont val="Calibri"/>
        <family val="2"/>
        <scheme val="minor"/>
      </rPr>
      <t>'</t>
    </r>
  </si>
  <si>
    <r>
      <t>R</t>
    </r>
    <r>
      <rPr>
        <vertAlign val="subscript"/>
        <sz val="11"/>
        <color theme="1"/>
        <rFont val="Calibri"/>
        <family val="2"/>
        <scheme val="minor"/>
      </rPr>
      <t>P</t>
    </r>
  </si>
  <si>
    <r>
      <t>R</t>
    </r>
    <r>
      <rPr>
        <vertAlign val="subscript"/>
        <sz val="12"/>
        <rFont val="Calibri"/>
        <family val="2"/>
        <scheme val="minor"/>
      </rPr>
      <t>P</t>
    </r>
    <r>
      <rPr>
        <sz val="12"/>
        <rFont val="Calibri"/>
        <family val="2"/>
        <scheme val="minor"/>
      </rPr>
      <t>'</t>
    </r>
  </si>
  <si>
    <t>LDC0851</t>
  </si>
  <si>
    <t>LDC0851 Rotation Speed Estimate</t>
  </si>
  <si>
    <t>Use 0.393 for Copper</t>
  </si>
  <si>
    <t>Use 1.68e-08 for Copper</t>
  </si>
  <si>
    <r>
      <t>Conductor Resistivity (at 20</t>
    </r>
    <r>
      <rPr>
        <sz val="9"/>
        <color indexed="8"/>
        <rFont val="Calibri"/>
        <family val="2"/>
      </rPr>
      <t>°C)</t>
    </r>
  </si>
  <si>
    <r>
      <rPr>
        <sz val="9"/>
        <color indexed="8"/>
        <rFont val="Calibri"/>
        <family val="2"/>
      </rPr>
      <t>Ωm</t>
    </r>
  </si>
  <si>
    <r>
      <t>%/</t>
    </r>
    <r>
      <rPr>
        <sz val="9"/>
        <color indexed="8"/>
        <rFont val="Calibri"/>
        <family val="2"/>
      </rPr>
      <t>°C</t>
    </r>
  </si>
  <si>
    <r>
      <t>µ</t>
    </r>
    <r>
      <rPr>
        <vertAlign val="subscript"/>
        <sz val="9"/>
        <color indexed="8"/>
        <rFont val="Calibri"/>
        <family val="2"/>
      </rPr>
      <t>r</t>
    </r>
  </si>
  <si>
    <t>Use 1.0 for Copper</t>
  </si>
  <si>
    <t>Datarate Limit (all channels same timing)</t>
  </si>
  <si>
    <t>Conversion Interval (per channel)</t>
  </si>
  <si>
    <t>Ver O</t>
  </si>
  <si>
    <t>Note: these calculation tools are provided without any warranty. 
User should independently verify any calculation results.</t>
  </si>
  <si>
    <t>Note: the oversample ratio may need to be adjusted based on target size</t>
  </si>
  <si>
    <t>Desired Switch On distance</t>
  </si>
  <si>
    <t xml:space="preserve">RCOUNT (hex) </t>
  </si>
  <si>
    <t>RCOUNT (decimal)</t>
  </si>
  <si>
    <t>mil</t>
  </si>
  <si>
    <t>L Scale (new eq)</t>
  </si>
  <si>
    <t>L scale (range limited)</t>
  </si>
  <si>
    <t>Eq based on 6mm to 50mm diameter sensors</t>
  </si>
  <si>
    <t>some small sensors may need adjustment a larger distances</t>
  </si>
  <si>
    <t>RPx Field Setting</t>
  </si>
  <si>
    <t>Sensor Cycle Count</t>
  </si>
  <si>
    <t>CNTSC</t>
  </si>
  <si>
    <r>
      <t>Sensor R</t>
    </r>
    <r>
      <rPr>
        <b/>
        <sz val="10"/>
        <color theme="1"/>
        <rFont val="Calibri"/>
        <family val="2"/>
        <scheme val="minor"/>
      </rPr>
      <t>P</t>
    </r>
    <r>
      <rPr>
        <b/>
        <sz val="11"/>
        <color theme="1"/>
        <rFont val="Calibri"/>
        <family val="2"/>
        <scheme val="minor"/>
      </rPr>
      <t xml:space="preserve"> Range</t>
    </r>
  </si>
  <si>
    <t>Freq Field</t>
  </si>
  <si>
    <t>LCDIV</t>
  </si>
  <si>
    <t>Calc Sen Cyc</t>
  </si>
  <si>
    <t>LDC2114 Configuration Tool</t>
  </si>
  <si>
    <t>LDC2114 Config Tool</t>
  </si>
  <si>
    <t>Sensor Rp</t>
  </si>
  <si>
    <t>Normal Power Scan Rate</t>
  </si>
  <si>
    <t>SPS</t>
  </si>
  <si>
    <t>Low Power Scan Rate</t>
  </si>
  <si>
    <t>Partial List of Register Settings</t>
  </si>
  <si>
    <t>Estimated Current in LP</t>
  </si>
  <si>
    <t>Estimated Current in NP</t>
  </si>
  <si>
    <r>
      <rPr>
        <sz val="11"/>
        <color theme="1"/>
        <rFont val="Calibri"/>
        <family val="2"/>
      </rPr>
      <t>µ</t>
    </r>
    <r>
      <rPr>
        <sz val="9.35"/>
        <color theme="1"/>
        <rFont val="Calibri"/>
        <family val="2"/>
      </rPr>
      <t>A</t>
    </r>
  </si>
  <si>
    <t>Enabled LP Buttons</t>
  </si>
  <si>
    <t>Enabled NP Buttons</t>
  </si>
  <si>
    <t>NPSCAN_RATE (0x0D) =</t>
  </si>
  <si>
    <t>EN (0x0C) =</t>
  </si>
  <si>
    <t>LP_SCAN_RATE (0x0F) =</t>
  </si>
  <si>
    <t>LC_DIVIDER (0x17) =</t>
  </si>
  <si>
    <t>CNTSC (0x1E) =</t>
  </si>
  <si>
    <t>binary weighted LP buttons</t>
  </si>
  <si>
    <t>binary weighted NP buttons</t>
  </si>
  <si>
    <t>Target Sample Time interval</t>
  </si>
  <si>
    <t>Actual Sample Time Interval</t>
  </si>
  <si>
    <r>
      <rPr>
        <b/>
        <i/>
        <sz val="11"/>
        <color theme="1"/>
        <rFont val="Calibri"/>
        <family val="2"/>
        <scheme val="minor"/>
      </rPr>
      <t>f</t>
    </r>
    <r>
      <rPr>
        <b/>
        <vertAlign val="subscript"/>
        <sz val="11"/>
        <color theme="1"/>
        <rFont val="Calibri"/>
        <family val="2"/>
        <scheme val="minor"/>
      </rPr>
      <t>SENSOR</t>
    </r>
    <r>
      <rPr>
        <b/>
        <sz val="11"/>
        <color theme="1"/>
        <rFont val="Calibri"/>
        <family val="2"/>
        <scheme val="minor"/>
      </rPr>
      <t xml:space="preserve"> (with target)</t>
    </r>
  </si>
  <si>
    <t>Touch-on-Metal Deflection Calculation Tool</t>
  </si>
  <si>
    <t>Button Dimensions</t>
  </si>
  <si>
    <t>shape</t>
  </si>
  <si>
    <t>Rectangular</t>
  </si>
  <si>
    <r>
      <t>2</t>
    </r>
    <r>
      <rPr>
        <b/>
        <sz val="11"/>
        <color theme="1"/>
        <rFont val="Calibri"/>
        <family val="2"/>
      </rPr>
      <t>×a</t>
    </r>
    <r>
      <rPr>
        <b/>
        <vertAlign val="subscript"/>
        <sz val="11"/>
        <color theme="1"/>
        <rFont val="Calibri"/>
        <family val="2"/>
      </rPr>
      <t>c</t>
    </r>
  </si>
  <si>
    <r>
      <t>a</t>
    </r>
    <r>
      <rPr>
        <b/>
        <vertAlign val="subscript"/>
        <sz val="11"/>
        <color theme="1"/>
        <rFont val="Calibri"/>
        <family val="2"/>
        <scheme val="minor"/>
      </rPr>
      <t>r</t>
    </r>
  </si>
  <si>
    <r>
      <t>b</t>
    </r>
    <r>
      <rPr>
        <b/>
        <vertAlign val="subscript"/>
        <sz val="11"/>
        <color theme="1"/>
        <rFont val="Calibri"/>
        <family val="2"/>
        <scheme val="minor"/>
      </rPr>
      <t>r</t>
    </r>
  </si>
  <si>
    <t>Material thickness</t>
  </si>
  <si>
    <t>304 Stainless Steel</t>
  </si>
  <si>
    <t>Young's Modulus for selected material</t>
  </si>
  <si>
    <t>GPa</t>
  </si>
  <si>
    <t>ν</t>
  </si>
  <si>
    <t>Poisson Ratio for selected material</t>
  </si>
  <si>
    <t>Enter Other Material Young's Modulus</t>
  </si>
  <si>
    <t>Enter Other Material Poisson Ratio</t>
  </si>
  <si>
    <t>Young's Modulus used in subsequent Calculations</t>
  </si>
  <si>
    <t>Poisson Ratio used in subsequent Calculations</t>
  </si>
  <si>
    <t>Uniform</t>
  </si>
  <si>
    <r>
      <t>a</t>
    </r>
    <r>
      <rPr>
        <b/>
        <vertAlign val="subscript"/>
        <sz val="11"/>
        <color theme="1"/>
        <rFont val="Calibri"/>
        <family val="2"/>
        <scheme val="minor"/>
      </rPr>
      <t>c</t>
    </r>
  </si>
  <si>
    <t>Ac</t>
  </si>
  <si>
    <t>Ar</t>
  </si>
  <si>
    <t>m^2</t>
  </si>
  <si>
    <t>plate flexural rigidity</t>
  </si>
  <si>
    <t>J</t>
  </si>
  <si>
    <r>
      <t>α</t>
    </r>
    <r>
      <rPr>
        <b/>
        <vertAlign val="subscript"/>
        <sz val="11"/>
        <color theme="1"/>
        <rFont val="Calibri"/>
        <family val="2"/>
      </rPr>
      <t>u</t>
    </r>
  </si>
  <si>
    <r>
      <t>α</t>
    </r>
    <r>
      <rPr>
        <b/>
        <vertAlign val="subscript"/>
        <sz val="11"/>
        <color theme="1"/>
        <rFont val="Calibri"/>
        <family val="2"/>
      </rPr>
      <t>p</t>
    </r>
  </si>
  <si>
    <t>Applied force</t>
  </si>
  <si>
    <t>q</t>
  </si>
  <si>
    <t>Applied pressure</t>
  </si>
  <si>
    <t>wpkcu</t>
  </si>
  <si>
    <t>Deflection at button center (circular, uniform)</t>
  </si>
  <si>
    <t>wpkcp</t>
  </si>
  <si>
    <t>Deflection at button center (circular, point)</t>
  </si>
  <si>
    <t>wpkru</t>
  </si>
  <si>
    <t>Deflection at button center (rectangular, uniform)</t>
  </si>
  <si>
    <t>wpkrp</t>
  </si>
  <si>
    <t>Deflection at button center (rectangular, point</t>
  </si>
  <si>
    <t>wpkc</t>
  </si>
  <si>
    <t>wpkr</t>
  </si>
  <si>
    <t>wmax</t>
  </si>
  <si>
    <t>Deflection at button center</t>
  </si>
  <si>
    <t>Deflection at button center / pressure</t>
  </si>
  <si>
    <t>µm/Pa</t>
  </si>
  <si>
    <t>Deflection at button center / force</t>
  </si>
  <si>
    <t>µm/N</t>
  </si>
  <si>
    <t>http://www.azom.com/properties.aspx?ArticleID=965</t>
  </si>
  <si>
    <t>430 Stainless Steel</t>
  </si>
  <si>
    <t>http://www.azom.com/properties.aspx?ArticleID=996</t>
  </si>
  <si>
    <t>http://xahax.com/subory/Spec_ABS.pdf</t>
  </si>
  <si>
    <t>Aluminum 6063</t>
  </si>
  <si>
    <t>http://asm.matweb.com/search/SpecificMaterial.asp?bassnum=MA6063T6</t>
  </si>
  <si>
    <t>Polycarbonate</t>
  </si>
  <si>
    <t>https://en.wikipedia.org/wiki/Polycarbonate</t>
  </si>
  <si>
    <t>Circular</t>
  </si>
  <si>
    <t>Concentrated</t>
  </si>
  <si>
    <t>length_units</t>
  </si>
  <si>
    <t>in</t>
  </si>
  <si>
    <t>Range Limits</t>
  </si>
  <si>
    <t>Deflection Graph</t>
  </si>
  <si>
    <t>Step scaling</t>
  </si>
  <si>
    <t>Reversal</t>
  </si>
  <si>
    <t>Metal Deflection Calculator</t>
  </si>
  <si>
    <t>Spiral Inductor Designer</t>
  </si>
  <si>
    <t>http://e2e.ti.com/support/sensor/inductive-sensing/</t>
  </si>
  <si>
    <t>For support or feedback:</t>
  </si>
  <si>
    <t>For more information, link to:</t>
  </si>
  <si>
    <t>http://www.ti.com/lit/an/snoa949/snoa949.pdf</t>
  </si>
  <si>
    <t>Goto Sensor Setup Tool to calculate</t>
  </si>
  <si>
    <t xml:space="preserve">Recommended settle count </t>
  </si>
  <si>
    <t>Read the Blog Post on how to use this page:</t>
  </si>
  <si>
    <t>Analog Wire Blog Post: How to Use the LDC Calc Tool</t>
  </si>
  <si>
    <t>Take a look at this blog post for additional information</t>
  </si>
  <si>
    <t>Sensor 0</t>
  </si>
  <si>
    <t>Sensor 1</t>
  </si>
  <si>
    <t>Sensor 2</t>
  </si>
  <si>
    <t>Sensor 3</t>
  </si>
  <si>
    <t>Enabled in LP mode:</t>
  </si>
  <si>
    <t>Enabled</t>
  </si>
  <si>
    <t>SENSOR3_CONFIG (0x26) =</t>
  </si>
  <si>
    <t>SENSOR0_CONFIG (0x20) =</t>
  </si>
  <si>
    <t>SENSOR1_CONFIG (0x22) =</t>
  </si>
  <si>
    <t>SENSOR2_CONFIG (0x24) =</t>
  </si>
  <si>
    <t>LP Mode Masked</t>
  </si>
  <si>
    <t>LP Mode</t>
  </si>
  <si>
    <t>Active Current</t>
  </si>
  <si>
    <t>LP Inactive time</t>
  </si>
  <si>
    <t>NP Inactive time</t>
  </si>
  <si>
    <t>NP Inactive current-time</t>
  </si>
  <si>
    <t>LP Inactive current-time</t>
  </si>
  <si>
    <t>Active current-time</t>
  </si>
  <si>
    <t>Current-time Button Enabled (LP)</t>
  </si>
  <si>
    <t>LP Total weighted-scan cycle current</t>
  </si>
  <si>
    <t>NP total weighted-scan cycle current</t>
  </si>
  <si>
    <t>Config values Decimal</t>
  </si>
  <si>
    <t>Enabled Buttons:</t>
  </si>
  <si>
    <t>Minimum Supported L</t>
  </si>
  <si>
    <t>Range limited Fsensor</t>
  </si>
  <si>
    <t>Free Space Sensor Characteristics</t>
  </si>
  <si>
    <t>Sensor Characteristics with Target Interaction</t>
  </si>
  <si>
    <r>
      <t>I</t>
    </r>
    <r>
      <rPr>
        <vertAlign val="subscript"/>
        <sz val="11"/>
        <color theme="1"/>
        <rFont val="Calibri"/>
        <family val="2"/>
        <scheme val="minor"/>
      </rPr>
      <t>SENSOR</t>
    </r>
    <r>
      <rPr>
        <sz val="11"/>
        <color theme="1"/>
        <rFont val="Calibri"/>
        <family val="2"/>
        <scheme val="minor"/>
      </rPr>
      <t xml:space="preserve"> with Maximum Target Interaction</t>
    </r>
  </si>
  <si>
    <r>
      <t>I</t>
    </r>
    <r>
      <rPr>
        <vertAlign val="subscript"/>
        <sz val="11"/>
        <color theme="1"/>
        <rFont val="Calibri"/>
        <family val="2"/>
        <scheme val="minor"/>
      </rPr>
      <t>TOTAL</t>
    </r>
    <r>
      <rPr>
        <sz val="11"/>
        <color theme="1"/>
        <rFont val="Calibri"/>
        <family val="2"/>
        <scheme val="minor"/>
      </rPr>
      <t xml:space="preserve"> without Target</t>
    </r>
  </si>
  <si>
    <r>
      <t>I</t>
    </r>
    <r>
      <rPr>
        <vertAlign val="subscript"/>
        <sz val="11"/>
        <color theme="1"/>
        <rFont val="Calibri"/>
        <family val="2"/>
        <scheme val="minor"/>
      </rPr>
      <t xml:space="preserve">SENSOR  </t>
    </r>
    <r>
      <rPr>
        <sz val="11"/>
        <color theme="1"/>
        <rFont val="Calibri"/>
        <family val="2"/>
        <scheme val="minor"/>
      </rPr>
      <t>without Target</t>
    </r>
  </si>
  <si>
    <t>Min Fsensor (MHz)</t>
  </si>
  <si>
    <t>Max Fsensor (MHz)</t>
  </si>
  <si>
    <t>Time (ms)</t>
  </si>
  <si>
    <t>LCDiv=0</t>
  </si>
  <si>
    <t>LCDiv=1</t>
  </si>
  <si>
    <t>LCDiv=2</t>
  </si>
  <si>
    <t>LCDiv=3</t>
  </si>
  <si>
    <t>LCDiv=4</t>
  </si>
  <si>
    <t>LCDiv=5</t>
  </si>
  <si>
    <t>LCDiv=6</t>
  </si>
  <si>
    <t>LCDiv=7</t>
  </si>
  <si>
    <t>Sensor0</t>
  </si>
  <si>
    <t>Sensor1</t>
  </si>
  <si>
    <t>Sensor2</t>
  </si>
  <si>
    <t>Sensor3</t>
  </si>
  <si>
    <t>Sensor0f</t>
  </si>
  <si>
    <t>Sensor1f</t>
  </si>
  <si>
    <t>Sensor2f</t>
  </si>
  <si>
    <t>Sensor3f</t>
  </si>
  <si>
    <t>LDC1101 Calc Tool</t>
  </si>
  <si>
    <t>Rev 6</t>
  </si>
  <si>
    <t>LDC1101 Register Settings</t>
  </si>
  <si>
    <t>Register</t>
  </si>
  <si>
    <t>Addr</t>
  </si>
  <si>
    <t>Value</t>
  </si>
  <si>
    <t>RP_SET</t>
  </si>
  <si>
    <t>0x01</t>
  </si>
  <si>
    <t>TC1</t>
  </si>
  <si>
    <t>0x02</t>
  </si>
  <si>
    <t>TC2</t>
  </si>
  <si>
    <t>0x03</t>
  </si>
  <si>
    <t>DIG_CONG</t>
  </si>
  <si>
    <t>0x04</t>
  </si>
  <si>
    <t>LHR_RCOUNT_LSB</t>
  </si>
  <si>
    <t>0x30</t>
  </si>
  <si>
    <r>
      <t>LDC1101 Rp Parameters (</t>
    </r>
    <r>
      <rPr>
        <sz val="12"/>
        <rFont val="Calibri"/>
        <family val="2"/>
        <scheme val="minor"/>
      </rPr>
      <t>only necessary for R</t>
    </r>
    <r>
      <rPr>
        <vertAlign val="subscript"/>
        <sz val="12"/>
        <rFont val="Calibri"/>
        <family val="2"/>
        <scheme val="minor"/>
      </rPr>
      <t>P</t>
    </r>
    <r>
      <rPr>
        <sz val="12"/>
        <rFont val="Calibri"/>
        <family val="2"/>
        <scheme val="minor"/>
      </rPr>
      <t xml:space="preserve"> Measurements</t>
    </r>
    <r>
      <rPr>
        <b/>
        <sz val="12"/>
        <rFont val="Calibri"/>
        <family val="2"/>
        <scheme val="minor"/>
      </rPr>
      <t>):</t>
    </r>
  </si>
  <si>
    <t>LHR_RCOUNT_MSB</t>
  </si>
  <si>
    <t>0x31</t>
  </si>
  <si>
    <t>LHR_CONFIG</t>
  </si>
  <si>
    <t>0x34</t>
  </si>
  <si>
    <t>Sample Rate Parameters:</t>
  </si>
  <si>
    <t>Sample Rate Configuration</t>
  </si>
  <si>
    <t>Response Time Setting</t>
  </si>
  <si>
    <r>
      <t>For R</t>
    </r>
    <r>
      <rPr>
        <vertAlign val="subscript"/>
        <sz val="10"/>
        <color theme="1"/>
        <rFont val="Calibri"/>
        <family val="2"/>
        <scheme val="minor"/>
      </rPr>
      <t>P</t>
    </r>
    <r>
      <rPr>
        <sz val="10"/>
        <color theme="1"/>
        <rFont val="Calibri"/>
        <family val="2"/>
        <scheme val="minor"/>
      </rPr>
      <t>+L Measurements</t>
    </r>
  </si>
  <si>
    <t>RESP_TIME field</t>
  </si>
  <si>
    <t>Min Fsensor field</t>
  </si>
  <si>
    <t>Max Fsensor</t>
  </si>
  <si>
    <t>LHR Fsensor Divider</t>
  </si>
  <si>
    <t>LHR sensor divider setting</t>
  </si>
  <si>
    <r>
      <t>R</t>
    </r>
    <r>
      <rPr>
        <vertAlign val="subscript"/>
        <sz val="11"/>
        <color theme="1"/>
        <rFont val="Calibri"/>
        <family val="2"/>
        <scheme val="minor"/>
      </rPr>
      <t>P</t>
    </r>
    <r>
      <rPr>
        <sz val="11"/>
        <color theme="1"/>
        <rFont val="Calibri"/>
        <family val="2"/>
        <scheme val="minor"/>
      </rPr>
      <t>+L Conversion Interval</t>
    </r>
  </si>
  <si>
    <t>Without target interaction</t>
  </si>
  <si>
    <r>
      <t>R</t>
    </r>
    <r>
      <rPr>
        <vertAlign val="subscript"/>
        <sz val="11"/>
        <color theme="1"/>
        <rFont val="Calibri"/>
        <family val="2"/>
        <scheme val="minor"/>
      </rPr>
      <t>P</t>
    </r>
    <r>
      <rPr>
        <sz val="11"/>
        <color theme="1"/>
        <rFont val="Calibri"/>
        <family val="2"/>
        <scheme val="minor"/>
      </rPr>
      <t>+L Sample Rate</t>
    </r>
  </si>
  <si>
    <t>RCOUNT Valid check</t>
  </si>
  <si>
    <t>Valid Rcount</t>
  </si>
  <si>
    <t>RCOUNT LSB</t>
  </si>
  <si>
    <t>Datarate Limit</t>
  </si>
  <si>
    <t>LHR Conversion Interval</t>
  </si>
  <si>
    <t>LHR Sample Rate</t>
  </si>
  <si>
    <t>LDC1101 LHR Output Inductance Calculator</t>
  </si>
  <si>
    <t>31B123</t>
  </si>
  <si>
    <t>LDC1101 output from Registers [0x38-0x3A]</t>
  </si>
  <si>
    <t>Measured Sensor Frequency</t>
  </si>
  <si>
    <r>
      <t>LDC1101(R</t>
    </r>
    <r>
      <rPr>
        <b/>
        <vertAlign val="subscript"/>
        <sz val="12"/>
        <color theme="1"/>
        <rFont val="Calibri"/>
        <family val="2"/>
        <scheme val="minor"/>
      </rPr>
      <t>P</t>
    </r>
    <r>
      <rPr>
        <b/>
        <sz val="12"/>
        <color theme="1"/>
        <rFont val="Calibri"/>
        <family val="2"/>
        <scheme val="minor"/>
      </rPr>
      <t>+L) Output Calculator</t>
    </r>
  </si>
  <si>
    <t>LDC1101 output from Registers [0x23:0x25]</t>
  </si>
  <si>
    <t>LDC1101 output from Registers [0x21:0x22]</t>
  </si>
  <si>
    <t>LDC1101 Calc</t>
  </si>
  <si>
    <t>rev1.30</t>
  </si>
  <si>
    <t>Device :</t>
  </si>
  <si>
    <t>Current-time Button Enabled (NP)</t>
  </si>
  <si>
    <t>Enabled LCDIV</t>
  </si>
  <si>
    <r>
      <rPr>
        <i/>
        <sz val="11"/>
        <color theme="1"/>
        <rFont val="Calibri"/>
        <family val="2"/>
        <scheme val="minor"/>
      </rPr>
      <t>f</t>
    </r>
    <r>
      <rPr>
        <vertAlign val="subscript"/>
        <sz val="11"/>
        <color theme="1"/>
        <rFont val="Calibri"/>
        <family val="2"/>
        <scheme val="minor"/>
      </rPr>
      <t>SENSOR</t>
    </r>
    <r>
      <rPr>
        <sz val="11"/>
        <color theme="1"/>
        <rFont val="Calibri"/>
        <family val="2"/>
        <scheme val="minor"/>
      </rPr>
      <t xml:space="preserve">(No Target)  </t>
    </r>
  </si>
  <si>
    <r>
      <rPr>
        <i/>
        <sz val="11"/>
        <color theme="1"/>
        <rFont val="Calibri"/>
        <family val="2"/>
        <scheme val="minor"/>
      </rPr>
      <t>f</t>
    </r>
    <r>
      <rPr>
        <vertAlign val="subscript"/>
        <sz val="11"/>
        <color theme="1"/>
        <rFont val="Calibri"/>
        <family val="2"/>
        <scheme val="minor"/>
      </rPr>
      <t>SENSOR</t>
    </r>
    <r>
      <rPr>
        <sz val="11"/>
        <color theme="1"/>
        <rFont val="Calibri"/>
        <family val="2"/>
        <scheme val="minor"/>
      </rPr>
      <t xml:space="preserve">(wIth Target)  </t>
    </r>
  </si>
  <si>
    <t>Sensor Diameter mm</t>
  </si>
  <si>
    <t>Target distance mm</t>
  </si>
  <si>
    <t>ratio</t>
  </si>
  <si>
    <t>L scaling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</si>
</sst>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0.0000"/>
    <numFmt numFmtId="167" formatCode="0.000E+00"/>
    <numFmt numFmtId="168" formatCode="##0.00E+0"/>
    <numFmt numFmtId="169" formatCode="0.0%"/>
    <numFmt numFmtId="170" formatCode="0.00000"/>
    <numFmt numFmtId="171" formatCode="0.0000000"/>
  </numFmts>
  <fonts count="104" x14ac:knownFonts="1">
    <font>
      <sz val="11"/>
      <color theme="1"/>
      <name val="Calibri"/>
      <family val="2"/>
      <scheme val="minor"/>
    </font>
    <font>
      <b/>
      <sz val="11"/>
      <color theme="1"/>
      <name val="Calibri"/>
      <family val="2"/>
      <scheme val="minor"/>
    </font>
    <font>
      <sz val="11"/>
      <color rgb="FF1F497D"/>
      <name val="Calibri"/>
      <family val="2"/>
      <scheme val="minor"/>
    </font>
    <font>
      <sz val="8"/>
      <color theme="0" tint="-0.34998626667073579"/>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i/>
      <sz val="11"/>
      <name val="Calibri"/>
      <family val="2"/>
      <scheme val="minor"/>
    </font>
    <font>
      <sz val="8"/>
      <color theme="0" tint="-0.249977111117893"/>
      <name val="Calibri"/>
      <family val="2"/>
      <scheme val="minor"/>
    </font>
    <font>
      <b/>
      <sz val="11"/>
      <name val="Calibri"/>
      <family val="2"/>
      <scheme val="minor"/>
    </font>
    <font>
      <b/>
      <sz val="12"/>
      <name val="Calibri"/>
      <family val="2"/>
      <scheme val="minor"/>
    </font>
    <font>
      <sz val="11"/>
      <color theme="1"/>
      <name val="Calibri"/>
      <family val="2"/>
    </font>
    <font>
      <sz val="9"/>
      <color indexed="81"/>
      <name val="Tahoma"/>
      <family val="2"/>
    </font>
    <font>
      <sz val="11"/>
      <color theme="1"/>
      <name val="Calibri"/>
      <family val="2"/>
      <scheme val="minor"/>
    </font>
    <font>
      <sz val="11"/>
      <color rgb="FF3F3F76"/>
      <name val="Calibri"/>
      <family val="2"/>
      <scheme val="minor"/>
    </font>
    <font>
      <b/>
      <sz val="11"/>
      <color rgb="FFFA7D00"/>
      <name val="Calibri"/>
      <family val="2"/>
      <scheme val="minor"/>
    </font>
    <font>
      <b/>
      <sz val="11"/>
      <color theme="0" tint="-0.14999847407452621"/>
      <name val="Calibri"/>
      <family val="2"/>
      <scheme val="minor"/>
    </font>
    <font>
      <sz val="11"/>
      <color theme="0" tint="-0.14999847407452621"/>
      <name val="Calibri"/>
      <family val="2"/>
      <scheme val="minor"/>
    </font>
    <font>
      <sz val="12"/>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sz val="10"/>
      <color theme="1"/>
      <name val="Calibri"/>
      <family val="2"/>
    </font>
    <font>
      <b/>
      <sz val="12"/>
      <color rgb="FFFF0000"/>
      <name val="Calibri"/>
      <family val="2"/>
      <scheme val="minor"/>
    </font>
    <font>
      <sz val="10"/>
      <color rgb="FF005426"/>
      <name val="Calibri"/>
      <family val="2"/>
      <scheme val="minor"/>
    </font>
    <font>
      <sz val="14"/>
      <color theme="1"/>
      <name val="Calibri"/>
      <family val="2"/>
      <scheme val="minor"/>
    </font>
    <font>
      <sz val="9"/>
      <color theme="1"/>
      <name val="Calibri"/>
      <family val="2"/>
    </font>
    <font>
      <b/>
      <sz val="12"/>
      <color theme="6" tint="-0.499984740745262"/>
      <name val="Calibri"/>
      <family val="2"/>
      <scheme val="minor"/>
    </font>
    <font>
      <b/>
      <sz val="10"/>
      <color theme="1"/>
      <name val="Calibri"/>
      <family val="2"/>
      <scheme val="minor"/>
    </font>
    <font>
      <b/>
      <sz val="10"/>
      <color theme="1"/>
      <name val="Calibri"/>
      <family val="2"/>
    </font>
    <font>
      <b/>
      <sz val="11"/>
      <color rgb="FFFF0000"/>
      <name val="Calibri"/>
      <family val="2"/>
      <scheme val="minor"/>
    </font>
    <font>
      <sz val="11"/>
      <color theme="0" tint="-0.34998626667073579"/>
      <name val="Calibri"/>
      <family val="2"/>
      <scheme val="minor"/>
    </font>
    <font>
      <sz val="11"/>
      <color rgb="FFFF0000"/>
      <name val="Calibri"/>
      <family val="2"/>
      <scheme val="minor"/>
    </font>
    <font>
      <sz val="11"/>
      <color theme="0" tint="-0.249977111117893"/>
      <name val="Calibri"/>
      <family val="2"/>
      <scheme val="minor"/>
    </font>
    <font>
      <u/>
      <sz val="11"/>
      <color theme="10"/>
      <name val="Calibri"/>
      <family val="2"/>
      <scheme val="minor"/>
    </font>
    <font>
      <sz val="9"/>
      <color theme="0" tint="-0.249977111117893"/>
      <name val="Calibri"/>
      <family val="2"/>
      <scheme val="minor"/>
    </font>
    <font>
      <i/>
      <sz val="12"/>
      <color theme="5" tint="-0.249977111117893"/>
      <name val="Calibri"/>
      <family val="2"/>
      <scheme val="minor"/>
    </font>
    <font>
      <i/>
      <sz val="11"/>
      <color theme="0" tint="-0.249977111117893"/>
      <name val="Calibri"/>
      <family val="2"/>
      <scheme val="minor"/>
    </font>
    <font>
      <b/>
      <sz val="9"/>
      <color indexed="81"/>
      <name val="Tahoma"/>
      <family val="2"/>
    </font>
    <font>
      <sz val="6"/>
      <color theme="0" tint="-4.9989318521683403E-2"/>
      <name val="Calibri"/>
      <family val="2"/>
      <scheme val="minor"/>
    </font>
    <font>
      <sz val="11"/>
      <color theme="0" tint="-4.9989318521683403E-2"/>
      <name val="Calibri"/>
      <family val="2"/>
      <scheme val="minor"/>
    </font>
    <font>
      <sz val="12"/>
      <name val="Calibri"/>
      <family val="2"/>
      <scheme val="minor"/>
    </font>
    <font>
      <sz val="9"/>
      <name val="Calibri"/>
      <family val="2"/>
      <scheme val="minor"/>
    </font>
    <font>
      <b/>
      <sz val="11"/>
      <color theme="1"/>
      <name val="Calibri"/>
      <family val="2"/>
    </font>
    <font>
      <sz val="9"/>
      <color theme="1" tint="0.34998626667073579"/>
      <name val="Calibri"/>
      <family val="2"/>
      <scheme val="minor"/>
    </font>
    <font>
      <sz val="11"/>
      <color theme="1" tint="0.34998626667073579"/>
      <name val="Calibri"/>
      <family val="2"/>
      <scheme val="minor"/>
    </font>
    <font>
      <sz val="10"/>
      <color theme="1" tint="0.34998626667073579"/>
      <name val="Calibri"/>
      <family val="2"/>
    </font>
    <font>
      <sz val="10"/>
      <color theme="1" tint="0.34998626667073579"/>
      <name val="Calibri"/>
      <family val="2"/>
      <scheme val="minor"/>
    </font>
    <font>
      <sz val="12"/>
      <color rgb="FFFF0000"/>
      <name val="Calibri"/>
      <family val="2"/>
      <scheme val="minor"/>
    </font>
    <font>
      <b/>
      <sz val="9"/>
      <color theme="1"/>
      <name val="Calibri"/>
      <family val="2"/>
      <scheme val="minor"/>
    </font>
    <font>
      <b/>
      <i/>
      <sz val="11"/>
      <color theme="1"/>
      <name val="Calibri"/>
      <family val="2"/>
      <scheme val="minor"/>
    </font>
    <font>
      <sz val="6"/>
      <name val="Calibri"/>
      <family val="2"/>
      <scheme val="minor"/>
    </font>
    <font>
      <b/>
      <sz val="14"/>
      <name val="Calibri"/>
      <family val="2"/>
      <scheme val="minor"/>
    </font>
    <font>
      <sz val="7"/>
      <color theme="1"/>
      <name val="Calibri"/>
      <family val="2"/>
      <scheme val="minor"/>
    </font>
    <font>
      <b/>
      <i/>
      <sz val="11"/>
      <color theme="1"/>
      <name val="Calibri"/>
      <family val="2"/>
    </font>
    <font>
      <sz val="8"/>
      <name val="Calibri"/>
      <family val="2"/>
      <scheme val="minor"/>
    </font>
    <font>
      <sz val="10"/>
      <name val="Calibri"/>
      <family val="2"/>
      <scheme val="minor"/>
    </font>
    <font>
      <sz val="10"/>
      <name val="Calibri"/>
      <family val="2"/>
    </font>
    <font>
      <sz val="11"/>
      <color rgb="FFFF00FF"/>
      <name val="Calibri"/>
      <family val="2"/>
      <scheme val="minor"/>
    </font>
    <font>
      <sz val="9"/>
      <name val="Calibri"/>
      <family val="2"/>
    </font>
    <font>
      <b/>
      <sz val="11"/>
      <color rgb="FFC00000"/>
      <name val="Calibri"/>
      <family val="2"/>
      <scheme val="minor"/>
    </font>
    <font>
      <b/>
      <sz val="9"/>
      <color indexed="81"/>
      <name val="Calibri"/>
      <family val="2"/>
    </font>
    <font>
      <b/>
      <sz val="9"/>
      <color indexed="81"/>
      <name val="Symbol"/>
      <family val="1"/>
      <charset val="2"/>
    </font>
    <font>
      <b/>
      <sz val="12"/>
      <color indexed="81"/>
      <name val="Symbol"/>
      <family val="1"/>
      <charset val="2"/>
    </font>
    <font>
      <sz val="10"/>
      <color theme="1"/>
      <name val="Symbol"/>
      <family val="1"/>
      <charset val="2"/>
    </font>
    <font>
      <b/>
      <sz val="14"/>
      <color rgb="FFFF00FF"/>
      <name val="Calibri"/>
      <family val="2"/>
      <scheme val="minor"/>
    </font>
    <font>
      <sz val="8"/>
      <color rgb="FFFF00FF"/>
      <name val="Calibri"/>
      <family val="2"/>
      <scheme val="minor"/>
    </font>
    <font>
      <b/>
      <sz val="10"/>
      <name val="Calibri"/>
      <family val="2"/>
    </font>
    <font>
      <sz val="16"/>
      <color rgb="FFFF0000"/>
      <name val="Calibri"/>
      <family val="2"/>
      <scheme val="minor"/>
    </font>
    <font>
      <b/>
      <vertAlign val="subscript"/>
      <sz val="11"/>
      <color theme="1"/>
      <name val="Calibri"/>
      <family val="2"/>
      <scheme val="minor"/>
    </font>
    <font>
      <b/>
      <i/>
      <sz val="11"/>
      <name val="Calibri"/>
      <family val="2"/>
      <scheme val="minor"/>
    </font>
    <font>
      <b/>
      <i/>
      <vertAlign val="subscript"/>
      <sz val="11"/>
      <name val="Calibri"/>
      <family val="2"/>
      <scheme val="minor"/>
    </font>
    <font>
      <vertAlign val="subscript"/>
      <sz val="11"/>
      <color theme="1"/>
      <name val="Calibri"/>
      <family val="2"/>
      <scheme val="minor"/>
    </font>
    <font>
      <b/>
      <i/>
      <vertAlign val="subscript"/>
      <sz val="11"/>
      <color theme="1"/>
      <name val="Calibri"/>
      <family val="2"/>
      <scheme val="minor"/>
    </font>
    <font>
      <b/>
      <sz val="14"/>
      <name val="Calibri"/>
      <family val="2"/>
    </font>
    <font>
      <b/>
      <sz val="11"/>
      <color rgb="FF3F3F3F"/>
      <name val="Calibri"/>
      <family val="2"/>
      <scheme val="minor"/>
    </font>
    <font>
      <sz val="11"/>
      <name val="Calibri"/>
      <family val="2"/>
    </font>
    <font>
      <u/>
      <sz val="11"/>
      <color theme="10"/>
      <name val="Calibri"/>
      <family val="2"/>
    </font>
    <font>
      <sz val="11"/>
      <color theme="0"/>
      <name val="Calibri"/>
      <family val="2"/>
      <scheme val="minor"/>
    </font>
    <font>
      <sz val="11"/>
      <color theme="1" tint="0.14999847407452621"/>
      <name val="Calibri"/>
      <family val="2"/>
      <scheme val="minor"/>
    </font>
    <font>
      <vertAlign val="subscript"/>
      <sz val="11"/>
      <name val="Calibri"/>
      <family val="2"/>
      <scheme val="minor"/>
    </font>
    <font>
      <sz val="12"/>
      <color indexed="8"/>
      <name val="Calibri"/>
      <family val="2"/>
    </font>
    <font>
      <vertAlign val="subscript"/>
      <sz val="11"/>
      <color indexed="8"/>
      <name val="Calibri"/>
      <family val="2"/>
    </font>
    <font>
      <b/>
      <sz val="11"/>
      <color indexed="52"/>
      <name val="Calibri"/>
      <family val="2"/>
    </font>
    <font>
      <sz val="10"/>
      <color indexed="8"/>
      <name val="Calibri"/>
      <family val="2"/>
    </font>
    <font>
      <sz val="9"/>
      <color indexed="8"/>
      <name val="Calibri"/>
      <family val="2"/>
    </font>
    <font>
      <b/>
      <sz val="12"/>
      <color indexed="17"/>
      <name val="Calibri"/>
      <family val="2"/>
    </font>
    <font>
      <b/>
      <sz val="10"/>
      <color indexed="8"/>
      <name val="Calibri"/>
      <family val="2"/>
    </font>
    <font>
      <sz val="14"/>
      <color rgb="FFFF0000"/>
      <name val="Calibri"/>
      <family val="2"/>
      <scheme val="minor"/>
    </font>
    <font>
      <i/>
      <sz val="10"/>
      <color theme="1"/>
      <name val="Calibri"/>
      <family val="2"/>
      <scheme val="minor"/>
    </font>
    <font>
      <vertAlign val="subscript"/>
      <sz val="12"/>
      <name val="Calibri"/>
      <family val="2"/>
      <scheme val="minor"/>
    </font>
    <font>
      <vertAlign val="subscript"/>
      <sz val="9"/>
      <color indexed="8"/>
      <name val="Calibri"/>
      <family val="2"/>
    </font>
    <font>
      <b/>
      <i/>
      <sz val="12"/>
      <color rgb="FFFF00FF"/>
      <name val="Calibri"/>
      <family val="2"/>
      <scheme val="minor"/>
    </font>
    <font>
      <sz val="9.35"/>
      <color theme="1"/>
      <name val="Calibri"/>
      <family val="2"/>
    </font>
    <font>
      <i/>
      <sz val="9"/>
      <color theme="1"/>
      <name val="Calibri"/>
      <family val="2"/>
      <scheme val="minor"/>
    </font>
    <font>
      <sz val="11"/>
      <color rgb="FF00B050"/>
      <name val="Calibri"/>
      <family val="2"/>
      <scheme val="minor"/>
    </font>
    <font>
      <b/>
      <vertAlign val="subscript"/>
      <sz val="11"/>
      <color theme="1"/>
      <name val="Calibri"/>
      <family val="2"/>
    </font>
    <font>
      <b/>
      <sz val="11"/>
      <color rgb="FF00B050"/>
      <name val="Calibri"/>
      <family val="2"/>
      <scheme val="minor"/>
    </font>
    <font>
      <sz val="8"/>
      <color rgb="FF000000"/>
      <name val="Segoe UI"/>
      <family val="2"/>
    </font>
    <font>
      <b/>
      <sz val="10"/>
      <color rgb="FFFF0000"/>
      <name val="Calibri"/>
      <family val="2"/>
      <scheme val="minor"/>
    </font>
    <font>
      <vertAlign val="subscript"/>
      <sz val="10"/>
      <color theme="1"/>
      <name val="Calibri"/>
      <family val="2"/>
      <scheme val="minor"/>
    </font>
    <font>
      <sz val="10"/>
      <color rgb="FFFF0000"/>
      <name val="Calibri"/>
      <family val="2"/>
      <scheme val="minor"/>
    </font>
    <font>
      <b/>
      <vertAlign val="subscript"/>
      <sz val="12"/>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diagonal/>
    </border>
    <border>
      <left style="medium">
        <color auto="1"/>
      </left>
      <right style="double">
        <color auto="1"/>
      </right>
      <top style="double">
        <color auto="1"/>
      </top>
      <bottom/>
      <diagonal/>
    </border>
    <border>
      <left style="double">
        <color rgb="FFB2B2B2"/>
      </left>
      <right style="thin">
        <color rgb="FFB2B2B2"/>
      </right>
      <top style="double">
        <color rgb="FFB2B2B2"/>
      </top>
      <bottom style="double">
        <color rgb="FF7F7F7F"/>
      </bottom>
      <diagonal/>
    </border>
    <border>
      <left style="thin">
        <color rgb="FFB2B2B2"/>
      </left>
      <right style="thin">
        <color rgb="FFB2B2B2"/>
      </right>
      <top style="double">
        <color rgb="FFB2B2B2"/>
      </top>
      <bottom style="double">
        <color rgb="FF7F7F7F"/>
      </bottom>
      <diagonal/>
    </border>
    <border>
      <left style="thin">
        <color rgb="FFB2B2B2"/>
      </left>
      <right style="double">
        <color rgb="FFB2B2B2"/>
      </right>
      <top style="double">
        <color rgb="FFB2B2B2"/>
      </top>
      <bottom style="double">
        <color rgb="FF7F7F7F"/>
      </bottom>
      <diagonal/>
    </border>
    <border>
      <left style="double">
        <color rgb="FF7F7F7F"/>
      </left>
      <right style="medium">
        <color rgb="FF7F7F7F"/>
      </right>
      <top style="double">
        <color rgb="FF7F7F7F"/>
      </top>
      <bottom style="medium">
        <color rgb="FF7F7F7F"/>
      </bottom>
      <diagonal/>
    </border>
    <border>
      <left style="medium">
        <color rgb="FF7F7F7F"/>
      </left>
      <right style="medium">
        <color rgb="FF7F7F7F"/>
      </right>
      <top style="double">
        <color rgb="FF7F7F7F"/>
      </top>
      <bottom style="medium">
        <color rgb="FF7F7F7F"/>
      </bottom>
      <diagonal/>
    </border>
    <border>
      <left style="medium">
        <color rgb="FF7F7F7F"/>
      </left>
      <right style="double">
        <color rgb="FF7F7F7F"/>
      </right>
      <top style="double">
        <color rgb="FF7F7F7F"/>
      </top>
      <bottom style="medium">
        <color rgb="FF7F7F7F"/>
      </bottom>
      <diagonal/>
    </border>
    <border>
      <left style="double">
        <color rgb="FF7F7F7F"/>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style="medium">
        <color rgb="FF7F7F7F"/>
      </bottom>
      <diagonal/>
    </border>
    <border>
      <left style="medium">
        <color rgb="FF7F7F7F"/>
      </left>
      <right style="double">
        <color rgb="FF7F7F7F"/>
      </right>
      <top style="medium">
        <color rgb="FF7F7F7F"/>
      </top>
      <bottom style="medium">
        <color rgb="FF7F7F7F"/>
      </bottom>
      <diagonal/>
    </border>
    <border>
      <left style="double">
        <color rgb="FF7F7F7F"/>
      </left>
      <right style="medium">
        <color rgb="FF7F7F7F"/>
      </right>
      <top style="medium">
        <color rgb="FF7F7F7F"/>
      </top>
      <bottom style="double">
        <color rgb="FF7F7F7F"/>
      </bottom>
      <diagonal/>
    </border>
    <border>
      <left style="medium">
        <color rgb="FF7F7F7F"/>
      </left>
      <right style="medium">
        <color rgb="FF7F7F7F"/>
      </right>
      <top style="medium">
        <color rgb="FF7F7F7F"/>
      </top>
      <bottom style="double">
        <color rgb="FF7F7F7F"/>
      </bottom>
      <diagonal/>
    </border>
    <border>
      <left style="medium">
        <color rgb="FF7F7F7F"/>
      </left>
      <right style="double">
        <color rgb="FF7F7F7F"/>
      </right>
      <top style="medium">
        <color rgb="FF7F7F7F"/>
      </top>
      <bottom style="double">
        <color rgb="FF7F7F7F"/>
      </bottom>
      <diagonal/>
    </border>
    <border>
      <left/>
      <right style="medium">
        <color rgb="FF7F7F7F"/>
      </right>
      <top/>
      <bottom style="double">
        <color rgb="FF7F7F7F"/>
      </bottom>
      <diagonal/>
    </border>
    <border>
      <left style="medium">
        <color rgb="FF7F7F7F"/>
      </left>
      <right style="medium">
        <color rgb="FF7F7F7F"/>
      </right>
      <top/>
      <bottom style="double">
        <color rgb="FF7F7F7F"/>
      </bottom>
      <diagonal/>
    </border>
    <border>
      <left style="medium">
        <color rgb="FF7F7F7F"/>
      </left>
      <right style="double">
        <color rgb="FF7F7F7F"/>
      </right>
      <top/>
      <bottom style="double">
        <color rgb="FF7F7F7F"/>
      </bottom>
      <diagonal/>
    </border>
    <border>
      <left style="double">
        <color rgb="FF7F7F7F"/>
      </left>
      <right style="medium">
        <color rgb="FF7F7F7F"/>
      </right>
      <top style="double">
        <color rgb="FF7F7F7F"/>
      </top>
      <bottom style="double">
        <color rgb="FF7F7F7F"/>
      </bottom>
      <diagonal/>
    </border>
    <border>
      <left style="medium">
        <color rgb="FF7F7F7F"/>
      </left>
      <right style="medium">
        <color rgb="FF7F7F7F"/>
      </right>
      <top style="double">
        <color rgb="FF7F7F7F"/>
      </top>
      <bottom style="double">
        <color rgb="FF7F7F7F"/>
      </bottom>
      <diagonal/>
    </border>
    <border>
      <left style="medium">
        <color rgb="FF7F7F7F"/>
      </left>
      <right style="double">
        <color rgb="FF7F7F7F"/>
      </right>
      <top style="double">
        <color rgb="FF7F7F7F"/>
      </top>
      <bottom style="double">
        <color rgb="FF7F7F7F"/>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8">
    <xf numFmtId="0" fontId="0" fillId="0" borderId="0"/>
    <xf numFmtId="0" fontId="15" fillId="4" borderId="2" applyNumberFormat="0" applyAlignment="0" applyProtection="0"/>
    <xf numFmtId="0" fontId="16" fillId="5" borderId="2" applyNumberFormat="0" applyAlignment="0" applyProtection="0"/>
    <xf numFmtId="0" fontId="14" fillId="6" borderId="3" applyNumberFormat="0" applyFont="0" applyAlignment="0" applyProtection="0"/>
    <xf numFmtId="0" fontId="35" fillId="0" borderId="0" applyNumberFormat="0" applyFill="0" applyBorder="0" applyAlignment="0" applyProtection="0"/>
    <xf numFmtId="0" fontId="76" fillId="5" borderId="33" applyNumberFormat="0" applyAlignment="0" applyProtection="0"/>
    <xf numFmtId="0" fontId="78" fillId="0" borderId="0" applyNumberFormat="0" applyFill="0" applyBorder="0" applyAlignment="0" applyProtection="0">
      <alignment vertical="top"/>
      <protection locked="0"/>
    </xf>
    <xf numFmtId="9" fontId="14" fillId="0" borderId="0" applyFont="0" applyFill="0" applyBorder="0" applyAlignment="0" applyProtection="0"/>
  </cellStyleXfs>
  <cellXfs count="619">
    <xf numFmtId="0" fontId="0" fillId="0" borderId="0" xfId="0"/>
    <xf numFmtId="0" fontId="1" fillId="0" borderId="0" xfId="0" applyFont="1" applyProtection="1"/>
    <xf numFmtId="0" fontId="0" fillId="0" borderId="0" xfId="0" applyProtection="1"/>
    <xf numFmtId="0" fontId="3" fillId="0" borderId="0" xfId="0" applyFont="1" applyProtection="1"/>
    <xf numFmtId="0" fontId="4" fillId="0" borderId="0" xfId="0" applyFont="1"/>
    <xf numFmtId="0" fontId="19" fillId="0" borderId="0" xfId="0" applyFont="1"/>
    <xf numFmtId="0" fontId="20" fillId="0" borderId="0" xfId="0" applyFont="1"/>
    <xf numFmtId="0" fontId="0" fillId="0" borderId="0" xfId="0" applyFont="1"/>
    <xf numFmtId="0" fontId="21" fillId="0" borderId="0" xfId="0" applyFont="1"/>
    <xf numFmtId="0" fontId="22" fillId="0" borderId="0" xfId="0" applyFont="1"/>
    <xf numFmtId="0" fontId="1" fillId="0" borderId="0" xfId="0" applyFont="1"/>
    <xf numFmtId="0" fontId="0" fillId="0" borderId="0" xfId="0" applyAlignment="1">
      <alignment horizontal="right"/>
    </xf>
    <xf numFmtId="0" fontId="0" fillId="0" borderId="1" xfId="0" applyBorder="1"/>
    <xf numFmtId="0" fontId="0" fillId="0" borderId="0" xfId="0" applyFill="1"/>
    <xf numFmtId="0" fontId="0" fillId="0" borderId="0" xfId="0" applyBorder="1"/>
    <xf numFmtId="0" fontId="1" fillId="0" borderId="0" xfId="0" applyFont="1" applyAlignment="1"/>
    <xf numFmtId="11" fontId="0" fillId="0" borderId="0" xfId="0" applyNumberFormat="1"/>
    <xf numFmtId="0" fontId="0" fillId="2" borderId="1" xfId="0" applyFill="1" applyBorder="1"/>
    <xf numFmtId="0" fontId="32" fillId="0" borderId="0" xfId="0" applyFont="1" applyFill="1"/>
    <xf numFmtId="0" fontId="34" fillId="0" borderId="0" xfId="0" applyFont="1"/>
    <xf numFmtId="0" fontId="12" fillId="0" borderId="0" xfId="0" applyFont="1"/>
    <xf numFmtId="0" fontId="35" fillId="0" borderId="0" xfId="4"/>
    <xf numFmtId="0" fontId="23" fillId="0" borderId="0" xfId="0" applyFont="1"/>
    <xf numFmtId="0" fontId="5" fillId="0" borderId="0" xfId="0" applyFont="1"/>
    <xf numFmtId="0" fontId="0" fillId="0" borderId="0" xfId="0" applyAlignment="1">
      <alignment vertical="center" wrapText="1"/>
    </xf>
    <xf numFmtId="0" fontId="27" fillId="0" borderId="0" xfId="0" applyFont="1"/>
    <xf numFmtId="0" fontId="36" fillId="0" borderId="0" xfId="0" applyFont="1"/>
    <xf numFmtId="0" fontId="0" fillId="0" borderId="0" xfId="0" applyFill="1" applyBorder="1"/>
    <xf numFmtId="0" fontId="37" fillId="0" borderId="0" xfId="0" applyFont="1"/>
    <xf numFmtId="165" fontId="1" fillId="3" borderId="1" xfId="0" applyNumberFormat="1" applyFont="1" applyFill="1" applyBorder="1"/>
    <xf numFmtId="0" fontId="0" fillId="3" borderId="1" xfId="0" applyFill="1" applyBorder="1"/>
    <xf numFmtId="0" fontId="1" fillId="0" borderId="0" xfId="0" applyFont="1" applyBorder="1" applyAlignment="1">
      <alignment horizontal="center"/>
    </xf>
    <xf numFmtId="0" fontId="0" fillId="0" borderId="0" xfId="0" applyFont="1" applyBorder="1" applyAlignment="1">
      <alignment horizontal="left"/>
    </xf>
    <xf numFmtId="0" fontId="1" fillId="0" borderId="0" xfId="0" applyFont="1" applyBorder="1"/>
    <xf numFmtId="0" fontId="1" fillId="0" borderId="0" xfId="0" applyFont="1" applyBorder="1" applyAlignment="1">
      <alignment horizontal="right"/>
    </xf>
    <xf numFmtId="0" fontId="40" fillId="0" borderId="0" xfId="0" applyFont="1" applyBorder="1"/>
    <xf numFmtId="166" fontId="1" fillId="0" borderId="0" xfId="0" applyNumberFormat="1" applyFont="1" applyFill="1" applyBorder="1"/>
    <xf numFmtId="2" fontId="1" fillId="3" borderId="1" xfId="0" applyNumberFormat="1" applyFont="1" applyFill="1" applyBorder="1"/>
    <xf numFmtId="0" fontId="1" fillId="0" borderId="0" xfId="0" applyFont="1" applyBorder="1" applyAlignment="1">
      <alignment horizontal="left"/>
    </xf>
    <xf numFmtId="164" fontId="0" fillId="3" borderId="1" xfId="0" applyNumberFormat="1" applyFill="1" applyBorder="1"/>
    <xf numFmtId="0" fontId="9" fillId="0" borderId="0" xfId="0" applyFont="1"/>
    <xf numFmtId="0" fontId="5" fillId="0" borderId="0" xfId="0" applyFont="1" applyBorder="1" applyAlignment="1"/>
    <xf numFmtId="166" fontId="0" fillId="3" borderId="1" xfId="0" applyNumberFormat="1" applyFont="1" applyFill="1" applyBorder="1"/>
    <xf numFmtId="2" fontId="0" fillId="3" borderId="1" xfId="0" applyNumberFormat="1" applyFont="1" applyFill="1" applyBorder="1"/>
    <xf numFmtId="0" fontId="5" fillId="3" borderId="1" xfId="0" applyFont="1" applyFill="1" applyBorder="1"/>
    <xf numFmtId="0" fontId="41" fillId="0" borderId="0" xfId="0" applyFont="1" applyFill="1"/>
    <xf numFmtId="0" fontId="41" fillId="0" borderId="0" xfId="0" applyFont="1"/>
    <xf numFmtId="0" fontId="0" fillId="2" borderId="1" xfId="0" applyFill="1" applyBorder="1" applyProtection="1">
      <protection locked="0"/>
    </xf>
    <xf numFmtId="165" fontId="0" fillId="2" borderId="1" xfId="0" applyNumberFormat="1" applyFill="1" applyBorder="1" applyProtection="1">
      <protection locked="0"/>
    </xf>
    <xf numFmtId="2" fontId="5" fillId="3" borderId="1" xfId="0" applyNumberFormat="1" applyFont="1" applyFill="1" applyBorder="1"/>
    <xf numFmtId="2" fontId="5" fillId="3" borderId="1" xfId="0" applyNumberFormat="1" applyFont="1" applyFill="1" applyBorder="1" applyProtection="1"/>
    <xf numFmtId="165" fontId="11" fillId="3" borderId="1" xfId="0" applyNumberFormat="1" applyFont="1" applyFill="1" applyBorder="1" applyProtection="1">
      <protection locked="0"/>
    </xf>
    <xf numFmtId="164" fontId="22" fillId="3" borderId="1" xfId="0" applyNumberFormat="1" applyFont="1" applyFill="1" applyBorder="1" applyProtection="1"/>
    <xf numFmtId="165" fontId="15" fillId="3" borderId="1" xfId="1" applyNumberFormat="1" applyFill="1" applyBorder="1"/>
    <xf numFmtId="2" fontId="7" fillId="2" borderId="1" xfId="0" applyNumberFormat="1" applyFont="1" applyFill="1" applyBorder="1" applyProtection="1">
      <protection locked="0"/>
    </xf>
    <xf numFmtId="0" fontId="0" fillId="2" borderId="1" xfId="0" applyFill="1" applyBorder="1" applyAlignment="1" applyProtection="1">
      <alignment horizontal="right"/>
      <protection locked="0"/>
    </xf>
    <xf numFmtId="0" fontId="0" fillId="3" borderId="1" xfId="0" applyFill="1" applyBorder="1" applyAlignment="1">
      <alignment horizontal="right"/>
    </xf>
    <xf numFmtId="2" fontId="0" fillId="3" borderId="1" xfId="0" applyNumberFormat="1" applyFill="1" applyBorder="1"/>
    <xf numFmtId="165" fontId="42" fillId="3" borderId="1" xfId="0" applyNumberFormat="1" applyFont="1" applyFill="1" applyBorder="1"/>
    <xf numFmtId="0" fontId="51" fillId="0" borderId="0" xfId="0" applyFont="1"/>
    <xf numFmtId="0" fontId="1" fillId="0" borderId="0" xfId="0" applyFont="1" applyFill="1"/>
    <xf numFmtId="0" fontId="1" fillId="0" borderId="0" xfId="0" applyFont="1" applyFill="1" applyBorder="1"/>
    <xf numFmtId="0" fontId="52" fillId="0" borderId="0" xfId="0" applyFont="1" applyBorder="1"/>
    <xf numFmtId="0" fontId="19" fillId="0" borderId="0" xfId="0" applyFont="1" applyFill="1" applyBorder="1"/>
    <xf numFmtId="0" fontId="7" fillId="0" borderId="0" xfId="0" applyFont="1"/>
    <xf numFmtId="0" fontId="7" fillId="0" borderId="0" xfId="0" applyNumberFormat="1" applyFont="1" applyFill="1" applyBorder="1"/>
    <xf numFmtId="2" fontId="53" fillId="3" borderId="1" xfId="0" applyNumberFormat="1" applyFont="1" applyFill="1" applyBorder="1" applyAlignment="1">
      <alignment vertical="center"/>
    </xf>
    <xf numFmtId="166" fontId="10" fillId="3" borderId="1" xfId="0" applyNumberFormat="1" applyFont="1" applyFill="1" applyBorder="1"/>
    <xf numFmtId="0" fontId="5" fillId="0" borderId="0" xfId="0" applyFont="1" applyFill="1"/>
    <xf numFmtId="0" fontId="23" fillId="3" borderId="1" xfId="0" applyFont="1" applyFill="1" applyBorder="1"/>
    <xf numFmtId="0" fontId="20" fillId="3" borderId="1" xfId="0" applyFont="1" applyFill="1" applyBorder="1"/>
    <xf numFmtId="0" fontId="1" fillId="3"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0" fillId="3" borderId="1" xfId="0" applyFill="1" applyBorder="1" applyAlignment="1">
      <alignment vertical="center" wrapText="1"/>
    </xf>
    <xf numFmtId="0" fontId="29" fillId="3" borderId="1" xfId="0" applyFont="1" applyFill="1" applyBorder="1" applyAlignment="1">
      <alignment horizontal="center" vertical="center" wrapText="1"/>
    </xf>
    <xf numFmtId="0" fontId="31" fillId="0" borderId="0" xfId="0" applyFont="1"/>
    <xf numFmtId="0" fontId="6" fillId="0" borderId="0" xfId="0" applyFont="1" applyFill="1"/>
    <xf numFmtId="0" fontId="38" fillId="0" borderId="0" xfId="0" applyFont="1" applyFill="1"/>
    <xf numFmtId="165" fontId="22" fillId="0" borderId="0" xfId="0" applyNumberFormat="1" applyFont="1"/>
    <xf numFmtId="0" fontId="0" fillId="9" borderId="0" xfId="0" applyFill="1"/>
    <xf numFmtId="0" fontId="7" fillId="9" borderId="0" xfId="0" applyFont="1" applyFill="1"/>
    <xf numFmtId="0" fontId="56" fillId="9" borderId="0" xfId="0" applyFont="1" applyFill="1"/>
    <xf numFmtId="0" fontId="7" fillId="9" borderId="1" xfId="0" applyFont="1" applyFill="1" applyBorder="1"/>
    <xf numFmtId="11" fontId="7" fillId="9" borderId="1" xfId="0" applyNumberFormat="1" applyFont="1" applyFill="1" applyBorder="1"/>
    <xf numFmtId="165" fontId="7" fillId="9" borderId="0" xfId="0" applyNumberFormat="1" applyFont="1" applyFill="1"/>
    <xf numFmtId="2" fontId="7" fillId="9" borderId="1" xfId="0" applyNumberFormat="1" applyFont="1" applyFill="1" applyBorder="1"/>
    <xf numFmtId="1" fontId="0" fillId="9" borderId="0" xfId="0" applyNumberFormat="1" applyFill="1"/>
    <xf numFmtId="165" fontId="0" fillId="9" borderId="0" xfId="0" applyNumberFormat="1" applyFill="1"/>
    <xf numFmtId="2" fontId="0" fillId="9" borderId="0" xfId="0" applyNumberFormat="1" applyFill="1"/>
    <xf numFmtId="166" fontId="7" fillId="9" borderId="0" xfId="0" applyNumberFormat="1" applyFont="1" applyFill="1"/>
    <xf numFmtId="0" fontId="52" fillId="9" borderId="0" xfId="0" applyFont="1" applyFill="1" applyBorder="1"/>
    <xf numFmtId="0" fontId="40" fillId="9" borderId="0" xfId="0" applyFont="1" applyFill="1" applyBorder="1"/>
    <xf numFmtId="0" fontId="56" fillId="9" borderId="0" xfId="0" applyFont="1" applyFill="1" applyProtection="1"/>
    <xf numFmtId="0" fontId="56" fillId="9" borderId="0" xfId="0" applyFont="1" applyFill="1" applyProtection="1">
      <protection locked="0"/>
    </xf>
    <xf numFmtId="0" fontId="33" fillId="0" borderId="0" xfId="0" applyFont="1"/>
    <xf numFmtId="0" fontId="57" fillId="0" borderId="0" xfId="0" applyFont="1"/>
    <xf numFmtId="0" fontId="56" fillId="0" borderId="0" xfId="0" applyFont="1"/>
    <xf numFmtId="0" fontId="58" fillId="0" borderId="0" xfId="0" applyFont="1"/>
    <xf numFmtId="0" fontId="0" fillId="0" borderId="27" xfId="0" applyFont="1" applyBorder="1"/>
    <xf numFmtId="0" fontId="0" fillId="0" borderId="28" xfId="0" applyFont="1" applyBorder="1"/>
    <xf numFmtId="0" fontId="0" fillId="0" borderId="29" xfId="0" applyFont="1" applyBorder="1"/>
    <xf numFmtId="0" fontId="4" fillId="0" borderId="0" xfId="0" applyFont="1" applyFill="1" applyBorder="1"/>
    <xf numFmtId="0" fontId="20" fillId="0" borderId="0" xfId="0" applyFont="1" applyFill="1" applyBorder="1"/>
    <xf numFmtId="0" fontId="0" fillId="0" borderId="0" xfId="0" applyFont="1" applyAlignment="1">
      <alignment wrapText="1"/>
    </xf>
    <xf numFmtId="165" fontId="5" fillId="3" borderId="1" xfId="0" applyNumberFormat="1" applyFont="1" applyFill="1" applyBorder="1"/>
    <xf numFmtId="2" fontId="11" fillId="3" borderId="1" xfId="0" applyNumberFormat="1" applyFont="1" applyFill="1" applyBorder="1"/>
    <xf numFmtId="0" fontId="0" fillId="0" borderId="0" xfId="0" applyFill="1" applyBorder="1" applyAlignment="1">
      <alignment wrapText="1"/>
    </xf>
    <xf numFmtId="0" fontId="19" fillId="9" borderId="1" xfId="0" applyFont="1" applyFill="1" applyBorder="1"/>
    <xf numFmtId="0" fontId="0" fillId="0" borderId="0" xfId="0" applyFont="1" applyFill="1" applyBorder="1"/>
    <xf numFmtId="2" fontId="0" fillId="0" borderId="0" xfId="0" applyNumberFormat="1" applyFill="1" applyBorder="1"/>
    <xf numFmtId="0" fontId="60" fillId="0" borderId="0" xfId="0" applyFont="1"/>
    <xf numFmtId="48" fontId="7" fillId="3" borderId="1" xfId="0" applyNumberFormat="1" applyFont="1" applyFill="1" applyBorder="1"/>
    <xf numFmtId="0" fontId="53" fillId="0" borderId="0" xfId="0" applyFont="1" applyFill="1"/>
    <xf numFmtId="0" fontId="0" fillId="0" borderId="0" xfId="0" applyFill="1" applyAlignment="1">
      <alignment horizontal="center"/>
    </xf>
    <xf numFmtId="0" fontId="61" fillId="0" borderId="0" xfId="0" applyFont="1" applyFill="1"/>
    <xf numFmtId="0" fontId="11" fillId="0" borderId="0" xfId="0" applyFont="1" applyFill="1"/>
    <xf numFmtId="0" fontId="0" fillId="9" borderId="1" xfId="0" applyFill="1" applyBorder="1" applyAlignment="1">
      <alignment horizontal="center"/>
    </xf>
    <xf numFmtId="0" fontId="0" fillId="0" borderId="0" xfId="0" applyFill="1" applyBorder="1" applyAlignment="1">
      <alignment horizontal="center"/>
    </xf>
    <xf numFmtId="2" fontId="0" fillId="9" borderId="1" xfId="0" applyNumberFormat="1" applyFill="1" applyBorder="1" applyAlignment="1">
      <alignment horizontal="center"/>
    </xf>
    <xf numFmtId="48" fontId="0" fillId="0" borderId="0" xfId="0" applyNumberFormat="1"/>
    <xf numFmtId="165" fontId="0" fillId="9" borderId="1" xfId="0" applyNumberFormat="1" applyFill="1" applyBorder="1" applyAlignment="1">
      <alignment horizontal="center"/>
    </xf>
    <xf numFmtId="168" fontId="0" fillId="0" borderId="0" xfId="0" applyNumberFormat="1"/>
    <xf numFmtId="164" fontId="0" fillId="9" borderId="1" xfId="0" applyNumberFormat="1" applyFill="1" applyBorder="1" applyAlignment="1">
      <alignment horizontal="center"/>
    </xf>
    <xf numFmtId="2" fontId="0" fillId="3" borderId="1" xfId="0" applyNumberFormat="1" applyFill="1" applyBorder="1" applyAlignment="1">
      <alignment horizontal="center"/>
    </xf>
    <xf numFmtId="0" fontId="0" fillId="0" borderId="0" xfId="0" applyAlignment="1">
      <alignment horizontal="center"/>
    </xf>
    <xf numFmtId="165" fontId="0" fillId="9" borderId="1" xfId="0" applyNumberFormat="1" applyFill="1" applyBorder="1"/>
    <xf numFmtId="168" fontId="20" fillId="0" borderId="0" xfId="0" applyNumberFormat="1" applyFont="1" applyFill="1" applyBorder="1" applyAlignment="1">
      <alignment horizontal="left"/>
    </xf>
    <xf numFmtId="0" fontId="65" fillId="0" borderId="0" xfId="0" applyFont="1" applyFill="1" applyBorder="1" applyAlignment="1">
      <alignment horizontal="left"/>
    </xf>
    <xf numFmtId="0" fontId="20" fillId="0" borderId="0" xfId="0" applyFont="1" applyFill="1" applyBorder="1" applyAlignment="1">
      <alignment horizontal="left"/>
    </xf>
    <xf numFmtId="0" fontId="19" fillId="0" borderId="1" xfId="0" applyFont="1" applyBorder="1" applyAlignment="1">
      <alignment wrapText="1"/>
    </xf>
    <xf numFmtId="0" fontId="42" fillId="0" borderId="1" xfId="0" applyFont="1" applyFill="1" applyBorder="1" applyAlignment="1">
      <alignment vertical="center" wrapText="1"/>
    </xf>
    <xf numFmtId="0" fontId="20" fillId="0" borderId="0" xfId="0" applyFont="1" applyAlignment="1">
      <alignment horizontal="left"/>
    </xf>
    <xf numFmtId="2" fontId="4" fillId="3" borderId="1" xfId="0" applyNumberFormat="1" applyFont="1" applyFill="1" applyBorder="1" applyAlignment="1" applyProtection="1">
      <alignment vertical="center"/>
    </xf>
    <xf numFmtId="0" fontId="0" fillId="9" borderId="1" xfId="0" applyFill="1" applyBorder="1"/>
    <xf numFmtId="2" fontId="1" fillId="0" borderId="0" xfId="0" applyNumberFormat="1" applyFont="1" applyFill="1" applyBorder="1"/>
    <xf numFmtId="0" fontId="0" fillId="10" borderId="0" xfId="0" applyFill="1"/>
    <xf numFmtId="0" fontId="1" fillId="10" borderId="0" xfId="0" applyFont="1" applyFill="1"/>
    <xf numFmtId="0" fontId="8" fillId="0" borderId="0" xfId="0" applyFont="1" applyFill="1"/>
    <xf numFmtId="0" fontId="0" fillId="3" borderId="1" xfId="0" applyFill="1" applyBorder="1" applyAlignment="1">
      <alignment horizontal="center"/>
    </xf>
    <xf numFmtId="0" fontId="5" fillId="3" borderId="1" xfId="0" applyFont="1" applyFill="1" applyBorder="1" applyAlignment="1">
      <alignment horizontal="right"/>
    </xf>
    <xf numFmtId="0" fontId="67" fillId="0" borderId="0" xfId="0" applyFont="1" applyProtection="1"/>
    <xf numFmtId="0" fontId="57" fillId="9" borderId="1" xfId="0" applyFont="1" applyFill="1" applyBorder="1" applyAlignment="1">
      <alignment horizontal="center"/>
    </xf>
    <xf numFmtId="0" fontId="50" fillId="9" borderId="1" xfId="0" applyFont="1" applyFill="1" applyBorder="1"/>
    <xf numFmtId="0" fontId="22" fillId="0" borderId="0" xfId="0" applyFont="1" applyAlignment="1">
      <alignment horizontal="center"/>
    </xf>
    <xf numFmtId="11" fontId="22" fillId="9" borderId="1" xfId="0" applyNumberFormat="1" applyFont="1" applyFill="1" applyBorder="1" applyAlignment="1">
      <alignment horizontal="center"/>
    </xf>
    <xf numFmtId="0" fontId="22" fillId="0" borderId="0" xfId="0" applyFont="1" applyFill="1" applyBorder="1" applyAlignment="1">
      <alignment horizontal="center"/>
    </xf>
    <xf numFmtId="0" fontId="50" fillId="0" borderId="0" xfId="0" applyFont="1" applyFill="1" applyBorder="1"/>
    <xf numFmtId="0" fontId="50" fillId="0" borderId="0" xfId="0" applyFont="1" applyFill="1"/>
    <xf numFmtId="164" fontId="22" fillId="9" borderId="1" xfId="0" applyNumberFormat="1" applyFont="1" applyFill="1" applyBorder="1"/>
    <xf numFmtId="165" fontId="22" fillId="9" borderId="1" xfId="0" applyNumberFormat="1" applyFont="1" applyFill="1" applyBorder="1"/>
    <xf numFmtId="2" fontId="22" fillId="9" borderId="1" xfId="0" applyNumberFormat="1" applyFont="1" applyFill="1" applyBorder="1"/>
    <xf numFmtId="48" fontId="22" fillId="0" borderId="0" xfId="0" applyNumberFormat="1" applyFont="1" applyFill="1" applyBorder="1"/>
    <xf numFmtId="48" fontId="22" fillId="0" borderId="0" xfId="0" applyNumberFormat="1" applyFont="1"/>
    <xf numFmtId="48" fontId="22" fillId="9" borderId="1" xfId="0" applyNumberFormat="1" applyFont="1" applyFill="1" applyBorder="1"/>
    <xf numFmtId="0" fontId="22" fillId="0" borderId="0" xfId="0" applyFont="1" applyFill="1" applyBorder="1"/>
    <xf numFmtId="0" fontId="22" fillId="0" borderId="0" xfId="0" applyFont="1" applyAlignment="1">
      <alignment horizontal="left"/>
    </xf>
    <xf numFmtId="0" fontId="69" fillId="0" borderId="0" xfId="0" applyFont="1"/>
    <xf numFmtId="0" fontId="71" fillId="0" borderId="0" xfId="0" applyFont="1" applyFill="1"/>
    <xf numFmtId="0" fontId="7" fillId="0" borderId="1" xfId="0" applyFont="1" applyBorder="1"/>
    <xf numFmtId="0" fontId="7" fillId="3" borderId="30" xfId="0" applyNumberFormat="1" applyFont="1" applyFill="1" applyBorder="1"/>
    <xf numFmtId="0" fontId="7" fillId="3" borderId="30" xfId="0" applyNumberFormat="1" applyFont="1" applyFill="1" applyBorder="1" applyAlignment="1">
      <alignment horizontal="right"/>
    </xf>
    <xf numFmtId="0" fontId="7" fillId="9" borderId="30" xfId="0" applyNumberFormat="1" applyFont="1" applyFill="1" applyBorder="1"/>
    <xf numFmtId="2" fontId="0" fillId="9" borderId="30" xfId="0" applyNumberFormat="1" applyFill="1" applyBorder="1"/>
    <xf numFmtId="166" fontId="7" fillId="3" borderId="30" xfId="0" applyNumberFormat="1" applyFont="1" applyFill="1" applyBorder="1"/>
    <xf numFmtId="0" fontId="7" fillId="9" borderId="1" xfId="0" applyNumberFormat="1" applyFont="1" applyFill="1" applyBorder="1"/>
    <xf numFmtId="0" fontId="20" fillId="2" borderId="1" xfId="0" applyFont="1" applyFill="1" applyBorder="1"/>
    <xf numFmtId="0" fontId="20" fillId="0" borderId="0" xfId="0" applyFont="1" applyFill="1"/>
    <xf numFmtId="0" fontId="20" fillId="0" borderId="28" xfId="0" applyFont="1" applyFill="1" applyBorder="1"/>
    <xf numFmtId="165" fontId="11" fillId="3" borderId="1" xfId="0" applyNumberFormat="1" applyFont="1" applyFill="1" applyBorder="1"/>
    <xf numFmtId="0" fontId="11" fillId="3" borderId="30" xfId="0" applyNumberFormat="1" applyFont="1" applyFill="1" applyBorder="1" applyAlignment="1">
      <alignment horizontal="right"/>
    </xf>
    <xf numFmtId="0" fontId="42" fillId="9" borderId="30" xfId="0" applyNumberFormat="1" applyFont="1" applyFill="1" applyBorder="1"/>
    <xf numFmtId="2" fontId="11" fillId="3" borderId="1" xfId="0" applyNumberFormat="1" applyFont="1" applyFill="1" applyBorder="1" applyAlignment="1">
      <alignment vertical="center"/>
    </xf>
    <xf numFmtId="0" fontId="11" fillId="9" borderId="30" xfId="0" applyNumberFormat="1" applyFont="1" applyFill="1" applyBorder="1"/>
    <xf numFmtId="165" fontId="5" fillId="9" borderId="0" xfId="0" applyNumberFormat="1" applyFont="1" applyFill="1"/>
    <xf numFmtId="0" fontId="5" fillId="9" borderId="0" xfId="0" applyFont="1" applyFill="1"/>
    <xf numFmtId="166" fontId="11" fillId="9" borderId="30" xfId="0" applyNumberFormat="1" applyFont="1" applyFill="1" applyBorder="1"/>
    <xf numFmtId="165" fontId="42" fillId="9" borderId="26" xfId="0" applyNumberFormat="1" applyFont="1" applyFill="1" applyBorder="1"/>
    <xf numFmtId="0" fontId="19" fillId="9" borderId="1" xfId="0" applyFont="1" applyFill="1" applyBorder="1" applyAlignment="1">
      <alignment horizontal="center"/>
    </xf>
    <xf numFmtId="2" fontId="42" fillId="9" borderId="0" xfId="0" applyNumberFormat="1" applyFont="1" applyFill="1" applyBorder="1"/>
    <xf numFmtId="2" fontId="42" fillId="9" borderId="1" xfId="0" applyNumberFormat="1" applyFont="1" applyFill="1" applyBorder="1"/>
    <xf numFmtId="0" fontId="0" fillId="0" borderId="1" xfId="0" applyBorder="1" applyAlignment="1">
      <alignment wrapText="1"/>
    </xf>
    <xf numFmtId="164" fontId="7" fillId="2" borderId="1" xfId="0" applyNumberFormat="1" applyFont="1" applyFill="1" applyBorder="1" applyProtection="1">
      <protection locked="0"/>
    </xf>
    <xf numFmtId="0" fontId="0" fillId="9" borderId="1" xfId="0" applyFill="1" applyBorder="1" applyProtection="1">
      <protection locked="0"/>
    </xf>
    <xf numFmtId="2" fontId="0" fillId="2" borderId="1" xfId="0" applyNumberFormat="1" applyFill="1" applyBorder="1" applyProtection="1">
      <protection locked="0"/>
    </xf>
    <xf numFmtId="2" fontId="0" fillId="9" borderId="1" xfId="0" applyNumberFormat="1" applyFill="1" applyBorder="1" applyProtection="1">
      <protection locked="0"/>
    </xf>
    <xf numFmtId="0" fontId="4" fillId="0" borderId="0" xfId="0" applyFont="1" applyProtection="1"/>
    <xf numFmtId="0" fontId="35" fillId="0" borderId="0" xfId="4" applyProtection="1"/>
    <xf numFmtId="0" fontId="19" fillId="0" borderId="0" xfId="0" applyFont="1" applyProtection="1"/>
    <xf numFmtId="0" fontId="49" fillId="0" borderId="0" xfId="0" applyFont="1" applyProtection="1"/>
    <xf numFmtId="0" fontId="7" fillId="0" borderId="1" xfId="0" applyFont="1" applyBorder="1" applyProtection="1"/>
    <xf numFmtId="0" fontId="0" fillId="0" borderId="1" xfId="0" applyBorder="1" applyProtection="1"/>
    <xf numFmtId="0" fontId="0" fillId="9" borderId="1" xfId="0" applyFill="1" applyBorder="1" applyProtection="1"/>
    <xf numFmtId="0" fontId="77" fillId="0" borderId="1" xfId="0" applyFont="1" applyBorder="1" applyProtection="1"/>
    <xf numFmtId="0" fontId="33" fillId="0" borderId="0" xfId="0" applyFont="1" applyProtection="1"/>
    <xf numFmtId="165" fontId="7" fillId="3" borderId="1" xfId="0" applyNumberFormat="1" applyFont="1" applyFill="1" applyBorder="1" applyProtection="1"/>
    <xf numFmtId="1" fontId="7" fillId="3" borderId="1" xfId="0" applyNumberFormat="1" applyFont="1" applyFill="1" applyBorder="1" applyProtection="1"/>
    <xf numFmtId="0" fontId="0" fillId="0" borderId="0" xfId="0" applyFont="1" applyProtection="1"/>
    <xf numFmtId="0" fontId="7" fillId="9" borderId="0" xfId="0" applyFont="1" applyFill="1" applyProtection="1"/>
    <xf numFmtId="0" fontId="0" fillId="0" borderId="1" xfId="0" applyFont="1" applyBorder="1" applyProtection="1"/>
    <xf numFmtId="0" fontId="0" fillId="0" borderId="0" xfId="0" applyFont="1" applyFill="1" applyBorder="1" applyProtection="1"/>
    <xf numFmtId="0" fontId="7" fillId="0" borderId="1" xfId="0" applyFont="1" applyFill="1" applyBorder="1" applyProtection="1"/>
    <xf numFmtId="165" fontId="0" fillId="3" borderId="1" xfId="0" applyNumberFormat="1" applyFill="1" applyBorder="1" applyProtection="1"/>
    <xf numFmtId="0" fontId="0" fillId="3" borderId="1" xfId="0" applyFill="1" applyBorder="1" applyProtection="1"/>
    <xf numFmtId="2" fontId="0" fillId="3" borderId="1" xfId="0" applyNumberFormat="1" applyFill="1" applyBorder="1" applyProtection="1"/>
    <xf numFmtId="0" fontId="42" fillId="0" borderId="1" xfId="0" applyFont="1" applyFill="1" applyBorder="1" applyProtection="1"/>
    <xf numFmtId="165" fontId="0" fillId="9" borderId="1" xfId="0" applyNumberFormat="1" applyFill="1" applyBorder="1" applyProtection="1"/>
    <xf numFmtId="0" fontId="15" fillId="4" borderId="2" xfId="1" applyProtection="1"/>
    <xf numFmtId="0" fontId="76" fillId="5" borderId="33" xfId="5" applyProtection="1"/>
    <xf numFmtId="165" fontId="7" fillId="3" borderId="0" xfId="0" applyNumberFormat="1" applyFont="1" applyFill="1" applyProtection="1"/>
    <xf numFmtId="0" fontId="0" fillId="9" borderId="0" xfId="0" applyFill="1" applyProtection="1"/>
    <xf numFmtId="0" fontId="7" fillId="0" borderId="0" xfId="0" applyFont="1" applyProtection="1"/>
    <xf numFmtId="0" fontId="80" fillId="0" borderId="0" xfId="0" applyFont="1" applyProtection="1"/>
    <xf numFmtId="0" fontId="79" fillId="0" borderId="0" xfId="0" applyFont="1" applyProtection="1"/>
    <xf numFmtId="0" fontId="41" fillId="0" borderId="0" xfId="0" applyFont="1" applyProtection="1"/>
    <xf numFmtId="0" fontId="79" fillId="0" borderId="0" xfId="0" applyFont="1" applyAlignment="1" applyProtection="1">
      <alignment vertical="center"/>
    </xf>
    <xf numFmtId="11" fontId="79" fillId="0" borderId="0" xfId="0" applyNumberFormat="1" applyFont="1" applyProtection="1"/>
    <xf numFmtId="0" fontId="79" fillId="0" borderId="0" xfId="0" applyNumberFormat="1" applyFont="1" applyProtection="1"/>
    <xf numFmtId="165" fontId="79" fillId="0" borderId="0" xfId="0" applyNumberFormat="1" applyFont="1" applyProtection="1"/>
    <xf numFmtId="2" fontId="79" fillId="0" borderId="0" xfId="0" applyNumberFormat="1" applyFont="1" applyProtection="1"/>
    <xf numFmtId="166" fontId="79" fillId="0" borderId="0" xfId="0" applyNumberFormat="1" applyFont="1" applyProtection="1"/>
    <xf numFmtId="0" fontId="79" fillId="0" borderId="0" xfId="0" applyFont="1" applyFill="1" applyProtection="1"/>
    <xf numFmtId="0" fontId="19" fillId="2" borderId="1" xfId="0" applyFont="1" applyFill="1" applyBorder="1" applyAlignment="1" applyProtection="1">
      <alignment horizontal="right"/>
      <protection locked="0"/>
    </xf>
    <xf numFmtId="164" fontId="4" fillId="2" borderId="1" xfId="0" applyNumberFormat="1" applyFont="1" applyFill="1" applyBorder="1" applyAlignment="1" applyProtection="1">
      <alignment horizontal="right"/>
      <protection locked="0"/>
    </xf>
    <xf numFmtId="1" fontId="4" fillId="2" borderId="1" xfId="0" applyNumberFormat="1" applyFont="1" applyFill="1" applyBorder="1" applyAlignment="1" applyProtection="1">
      <alignment horizontal="right"/>
      <protection locked="0"/>
    </xf>
    <xf numFmtId="0" fontId="4" fillId="2" borderId="1" xfId="0" applyFont="1" applyFill="1" applyBorder="1" applyAlignment="1" applyProtection="1">
      <alignment horizontal="right"/>
      <protection locked="0"/>
    </xf>
    <xf numFmtId="2" fontId="4" fillId="2" borderId="1" xfId="0" applyNumberFormat="1" applyFont="1" applyFill="1" applyBorder="1" applyAlignment="1" applyProtection="1">
      <alignment horizontal="right"/>
      <protection locked="0"/>
    </xf>
    <xf numFmtId="0" fontId="25" fillId="2" borderId="1" xfId="0" applyFont="1" applyFill="1" applyBorder="1" applyAlignment="1" applyProtection="1">
      <alignment horizontal="center"/>
      <protection locked="0"/>
    </xf>
    <xf numFmtId="165" fontId="26" fillId="9" borderId="1" xfId="0" applyNumberFormat="1" applyFont="1" applyFill="1" applyBorder="1" applyAlignment="1" applyProtection="1">
      <alignment horizontal="right"/>
      <protection locked="0"/>
    </xf>
    <xf numFmtId="2" fontId="26" fillId="2" borderId="1" xfId="0" applyNumberFormat="1" applyFont="1" applyFill="1" applyBorder="1" applyAlignment="1" applyProtection="1">
      <alignment horizontal="right"/>
      <protection locked="0"/>
    </xf>
    <xf numFmtId="165" fontId="4" fillId="2" borderId="1" xfId="0" applyNumberFormat="1" applyFont="1" applyFill="1" applyBorder="1" applyAlignment="1" applyProtection="1">
      <alignment horizontal="right"/>
      <protection locked="0"/>
    </xf>
    <xf numFmtId="165" fontId="0" fillId="8" borderId="1" xfId="0" applyNumberFormat="1" applyFill="1" applyBorder="1" applyAlignment="1" applyProtection="1">
      <alignment horizontal="right"/>
      <protection locked="0"/>
    </xf>
    <xf numFmtId="165" fontId="0" fillId="2" borderId="1" xfId="0" applyNumberFormat="1" applyFill="1" applyBorder="1" applyAlignment="1" applyProtection="1">
      <alignment horizontal="right"/>
      <protection locked="0"/>
    </xf>
    <xf numFmtId="0" fontId="0" fillId="0" borderId="0" xfId="0" applyBorder="1" applyProtection="1">
      <protection locked="0"/>
    </xf>
    <xf numFmtId="0" fontId="0" fillId="0" borderId="0" xfId="0" applyAlignment="1" applyProtection="1">
      <alignment horizontal="right"/>
    </xf>
    <xf numFmtId="0" fontId="35" fillId="0" borderId="0" xfId="4" applyAlignment="1" applyProtection="1"/>
    <xf numFmtId="0" fontId="6" fillId="0" borderId="0" xfId="0" applyFont="1" applyAlignment="1" applyProtection="1">
      <alignment vertical="center"/>
    </xf>
    <xf numFmtId="0" fontId="0" fillId="0" borderId="0" xfId="0" applyAlignment="1" applyProtection="1"/>
    <xf numFmtId="0" fontId="4" fillId="0" borderId="0" xfId="0" applyFont="1" applyAlignment="1" applyProtection="1"/>
    <xf numFmtId="0" fontId="1" fillId="2" borderId="0" xfId="0" applyFont="1" applyFill="1" applyProtection="1"/>
    <xf numFmtId="0" fontId="0" fillId="2" borderId="0" xfId="0" applyFill="1" applyProtection="1"/>
    <xf numFmtId="0" fontId="1" fillId="3" borderId="0" xfId="0" applyFont="1" applyFill="1" applyProtection="1"/>
    <xf numFmtId="0" fontId="0" fillId="3" borderId="0" xfId="0" applyFill="1" applyProtection="1"/>
    <xf numFmtId="0" fontId="19" fillId="0" borderId="1" xfId="0" applyFont="1" applyBorder="1" applyAlignment="1" applyProtection="1">
      <alignment horizontal="left"/>
    </xf>
    <xf numFmtId="0" fontId="19" fillId="0" borderId="1" xfId="0" applyFont="1" applyBorder="1" applyAlignment="1" applyProtection="1">
      <alignment horizontal="center"/>
    </xf>
    <xf numFmtId="0" fontId="19" fillId="0" borderId="1" xfId="0" applyFont="1" applyFill="1" applyBorder="1" applyAlignment="1" applyProtection="1">
      <alignment horizontal="left"/>
    </xf>
    <xf numFmtId="0" fontId="19" fillId="0" borderId="1" xfId="0" applyFont="1" applyBorder="1" applyAlignment="1" applyProtection="1"/>
    <xf numFmtId="0" fontId="18" fillId="0" borderId="0" xfId="0" applyFont="1" applyProtection="1"/>
    <xf numFmtId="0" fontId="19" fillId="0" borderId="1" xfId="0" applyFont="1" applyBorder="1" applyProtection="1"/>
    <xf numFmtId="0" fontId="0" fillId="0" borderId="1" xfId="0" applyBorder="1" applyAlignment="1" applyProtection="1">
      <alignment horizontal="center"/>
    </xf>
    <xf numFmtId="0" fontId="20" fillId="0" borderId="1" xfId="0" applyFont="1" applyFill="1" applyBorder="1" applyAlignment="1" applyProtection="1">
      <alignment horizontal="left"/>
    </xf>
    <xf numFmtId="0" fontId="0" fillId="0" borderId="1" xfId="0" applyBorder="1" applyAlignment="1" applyProtection="1">
      <alignment horizontal="left"/>
    </xf>
    <xf numFmtId="0" fontId="0" fillId="0" borderId="1" xfId="0" applyBorder="1" applyAlignment="1" applyProtection="1"/>
    <xf numFmtId="2" fontId="0" fillId="0" borderId="0" xfId="0" applyNumberFormat="1" applyProtection="1"/>
    <xf numFmtId="165" fontId="26" fillId="9" borderId="1" xfId="0" applyNumberFormat="1" applyFont="1" applyFill="1" applyBorder="1" applyAlignment="1" applyProtection="1">
      <alignment horizontal="right"/>
    </xf>
    <xf numFmtId="0" fontId="25" fillId="9" borderId="1" xfId="0" applyFont="1" applyFill="1" applyBorder="1" applyAlignment="1" applyProtection="1">
      <alignment horizontal="center"/>
    </xf>
    <xf numFmtId="0" fontId="25" fillId="0" borderId="1" xfId="0" applyFont="1" applyFill="1" applyBorder="1" applyAlignment="1" applyProtection="1">
      <alignment horizontal="center"/>
    </xf>
    <xf numFmtId="0" fontId="7" fillId="0" borderId="1" xfId="0" applyFont="1" applyFill="1" applyBorder="1" applyAlignment="1" applyProtection="1">
      <alignment horizontal="left"/>
    </xf>
    <xf numFmtId="165" fontId="26" fillId="3" borderId="1" xfId="0" applyNumberFormat="1" applyFont="1" applyFill="1" applyBorder="1" applyAlignment="1" applyProtection="1">
      <alignment horizontal="right"/>
    </xf>
    <xf numFmtId="0" fontId="22" fillId="0" borderId="1" xfId="0" applyFont="1" applyFill="1" applyBorder="1" applyProtection="1"/>
    <xf numFmtId="0" fontId="22" fillId="0" borderId="1" xfId="0" applyFont="1" applyFill="1" applyBorder="1" applyAlignment="1" applyProtection="1">
      <alignment horizontal="center"/>
    </xf>
    <xf numFmtId="167" fontId="22" fillId="3" borderId="1" xfId="0" applyNumberFormat="1" applyFont="1" applyFill="1" applyBorder="1" applyAlignment="1" applyProtection="1">
      <alignment horizontal="right" vertical="center"/>
    </xf>
    <xf numFmtId="0" fontId="22" fillId="0" borderId="1" xfId="0" applyFont="1" applyFill="1" applyBorder="1" applyAlignment="1" applyProtection="1">
      <alignment horizontal="left" vertical="center"/>
    </xf>
    <xf numFmtId="0" fontId="0" fillId="0" borderId="1" xfId="0" applyFill="1" applyBorder="1" applyAlignment="1" applyProtection="1"/>
    <xf numFmtId="0" fontId="0" fillId="0" borderId="32" xfId="0" applyBorder="1" applyProtection="1"/>
    <xf numFmtId="0" fontId="0" fillId="0" borderId="1" xfId="0" applyFill="1" applyBorder="1" applyProtection="1"/>
    <xf numFmtId="0" fontId="0" fillId="0" borderId="1" xfId="0" applyFill="1" applyBorder="1" applyAlignment="1" applyProtection="1">
      <alignment horizontal="center"/>
    </xf>
    <xf numFmtId="2" fontId="1" fillId="3" borderId="1" xfId="0" applyNumberFormat="1" applyFont="1" applyFill="1" applyBorder="1" applyAlignment="1" applyProtection="1">
      <alignment horizontal="right"/>
    </xf>
    <xf numFmtId="2" fontId="22" fillId="9" borderId="1" xfId="0" applyNumberFormat="1" applyFont="1" applyFill="1" applyBorder="1" applyAlignment="1" applyProtection="1">
      <alignment horizontal="right"/>
    </xf>
    <xf numFmtId="0" fontId="22" fillId="0" borderId="1" xfId="0" applyFont="1" applyFill="1" applyBorder="1" applyAlignment="1" applyProtection="1">
      <alignment horizontal="left"/>
    </xf>
    <xf numFmtId="166" fontId="22" fillId="9" borderId="1" xfId="0" applyNumberFormat="1" applyFont="1" applyFill="1" applyBorder="1" applyAlignment="1" applyProtection="1">
      <alignment horizontal="right"/>
    </xf>
    <xf numFmtId="165" fontId="1" fillId="3" borderId="1" xfId="0" applyNumberFormat="1" applyFont="1" applyFill="1" applyBorder="1" applyAlignment="1" applyProtection="1">
      <alignment horizontal="right"/>
    </xf>
    <xf numFmtId="0" fontId="0" fillId="0" borderId="0" xfId="0" applyFill="1" applyProtection="1"/>
    <xf numFmtId="165" fontId="0" fillId="3" borderId="1" xfId="0" applyNumberFormat="1" applyFill="1" applyBorder="1" applyAlignment="1" applyProtection="1">
      <alignment horizontal="right"/>
    </xf>
    <xf numFmtId="0" fontId="33" fillId="0" borderId="1" xfId="0" applyFont="1" applyFill="1" applyBorder="1" applyAlignment="1" applyProtection="1"/>
    <xf numFmtId="0" fontId="1" fillId="0" borderId="1" xfId="0" applyFont="1" applyFill="1" applyBorder="1" applyProtection="1"/>
    <xf numFmtId="165" fontId="4" fillId="3" borderId="1" xfId="0" applyNumberFormat="1" applyFont="1" applyFill="1" applyBorder="1" applyAlignment="1" applyProtection="1">
      <alignment horizontal="right"/>
    </xf>
    <xf numFmtId="0" fontId="29" fillId="0" borderId="1" xfId="0" applyFont="1" applyFill="1" applyBorder="1" applyAlignment="1" applyProtection="1">
      <alignment horizontal="left"/>
    </xf>
    <xf numFmtId="0" fontId="31" fillId="0" borderId="1" xfId="0" applyFont="1" applyFill="1" applyBorder="1" applyAlignment="1" applyProtection="1"/>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45" fillId="0" borderId="1" xfId="0" applyFont="1" applyFill="1" applyBorder="1" applyProtection="1"/>
    <xf numFmtId="0" fontId="45" fillId="0" borderId="1" xfId="0" applyFont="1" applyFill="1" applyBorder="1" applyAlignment="1" applyProtection="1">
      <alignment horizontal="center"/>
    </xf>
    <xf numFmtId="0" fontId="45" fillId="0" borderId="1" xfId="0" applyFont="1" applyFill="1" applyBorder="1" applyAlignment="1" applyProtection="1">
      <alignment horizontal="left"/>
    </xf>
    <xf numFmtId="0" fontId="46" fillId="0" borderId="1" xfId="0" applyFont="1" applyFill="1" applyBorder="1" applyProtection="1"/>
    <xf numFmtId="0" fontId="46" fillId="0" borderId="1" xfId="0" applyFont="1" applyFill="1" applyBorder="1" applyAlignment="1" applyProtection="1">
      <alignment horizontal="center"/>
    </xf>
    <xf numFmtId="0" fontId="47" fillId="0" borderId="1" xfId="0" applyFont="1" applyFill="1" applyBorder="1" applyAlignment="1" applyProtection="1">
      <alignment horizontal="left"/>
    </xf>
    <xf numFmtId="0" fontId="48" fillId="0" borderId="1" xfId="0" applyFont="1" applyFill="1" applyBorder="1" applyAlignment="1" applyProtection="1">
      <alignment horizontal="left"/>
    </xf>
    <xf numFmtId="0" fontId="68" fillId="0" borderId="1" xfId="0" applyFont="1" applyFill="1" applyBorder="1" applyAlignment="1" applyProtection="1">
      <alignment horizontal="left"/>
    </xf>
    <xf numFmtId="0" fontId="0" fillId="0" borderId="1" xfId="0" applyFont="1" applyFill="1" applyBorder="1" applyProtection="1"/>
    <xf numFmtId="0" fontId="0" fillId="0" borderId="1" xfId="0" applyFont="1" applyFill="1" applyBorder="1" applyAlignment="1" applyProtection="1">
      <alignment horizontal="center"/>
    </xf>
    <xf numFmtId="0" fontId="12" fillId="0" borderId="1" xfId="0" applyFont="1" applyFill="1" applyBorder="1" applyAlignment="1" applyProtection="1">
      <alignment horizontal="left"/>
    </xf>
    <xf numFmtId="2" fontId="5" fillId="3" borderId="1" xfId="0" applyNumberFormat="1" applyFont="1" applyFill="1" applyBorder="1" applyAlignment="1" applyProtection="1">
      <alignment horizontal="right"/>
    </xf>
    <xf numFmtId="0" fontId="0" fillId="0" borderId="1" xfId="0" applyFont="1" applyBorder="1" applyAlignment="1" applyProtection="1">
      <alignment horizontal="center"/>
    </xf>
    <xf numFmtId="2" fontId="0" fillId="0" borderId="1" xfId="0" applyNumberFormat="1" applyFont="1" applyBorder="1" applyAlignment="1" applyProtection="1">
      <alignment horizontal="left"/>
    </xf>
    <xf numFmtId="0" fontId="4" fillId="0" borderId="1" xfId="0" applyFont="1" applyBorder="1" applyAlignment="1" applyProtection="1">
      <alignment horizontal="right"/>
    </xf>
    <xf numFmtId="0" fontId="0" fillId="0" borderId="1" xfId="0" applyBorder="1" applyAlignment="1" applyProtection="1">
      <alignment horizontal="right"/>
    </xf>
    <xf numFmtId="2" fontId="0" fillId="0" borderId="1" xfId="0" applyNumberFormat="1" applyBorder="1" applyAlignment="1" applyProtection="1">
      <alignment horizontal="right"/>
    </xf>
    <xf numFmtId="0" fontId="59" fillId="0" borderId="1" xfId="0" applyFont="1" applyBorder="1" applyAlignment="1" applyProtection="1">
      <alignment horizontal="right"/>
    </xf>
    <xf numFmtId="0" fontId="11" fillId="0" borderId="1" xfId="0" applyFont="1" applyBorder="1" applyProtection="1"/>
    <xf numFmtId="0" fontId="42" fillId="0" borderId="1" xfId="0" applyFont="1" applyBorder="1" applyAlignment="1" applyProtection="1">
      <alignment horizontal="center"/>
    </xf>
    <xf numFmtId="165" fontId="53" fillId="3" borderId="1" xfId="0" applyNumberFormat="1" applyFont="1" applyFill="1" applyBorder="1" applyProtection="1"/>
    <xf numFmtId="0" fontId="10" fillId="0" borderId="1" xfId="0" applyFont="1" applyBorder="1" applyAlignment="1" applyProtection="1">
      <alignment horizontal="left"/>
    </xf>
    <xf numFmtId="0" fontId="53" fillId="0" borderId="1" xfId="0" applyFont="1" applyBorder="1" applyProtection="1"/>
    <xf numFmtId="2" fontId="53" fillId="3" borderId="1" xfId="0" applyNumberFormat="1" applyFont="1" applyFill="1" applyBorder="1" applyAlignment="1" applyProtection="1">
      <alignment horizontal="right"/>
    </xf>
    <xf numFmtId="0" fontId="75" fillId="0" borderId="1" xfId="0" applyFont="1" applyFill="1" applyBorder="1" applyAlignment="1" applyProtection="1">
      <alignment horizontal="left"/>
    </xf>
    <xf numFmtId="0" fontId="7" fillId="0" borderId="1" xfId="0" applyFont="1" applyBorder="1" applyAlignment="1" applyProtection="1">
      <alignment horizontal="center"/>
    </xf>
    <xf numFmtId="0" fontId="0" fillId="2" borderId="1" xfId="0" applyFont="1" applyFill="1" applyBorder="1" applyProtection="1">
      <protection locked="0"/>
    </xf>
    <xf numFmtId="0" fontId="5" fillId="0" borderId="0" xfId="0" applyFont="1" applyFill="1" applyProtection="1"/>
    <xf numFmtId="0" fontId="23" fillId="3" borderId="1" xfId="0" applyFont="1" applyFill="1" applyBorder="1" applyProtection="1"/>
    <xf numFmtId="0" fontId="20" fillId="3" borderId="1" xfId="0" applyFont="1" applyFill="1" applyBorder="1" applyProtection="1"/>
    <xf numFmtId="165" fontId="1" fillId="3" borderId="1" xfId="0" applyNumberFormat="1" applyFont="1" applyFill="1" applyBorder="1" applyProtection="1"/>
    <xf numFmtId="0" fontId="54" fillId="0" borderId="0" xfId="0" applyFont="1" applyProtection="1"/>
    <xf numFmtId="0" fontId="0" fillId="3" borderId="1" xfId="0" applyFont="1" applyFill="1" applyBorder="1" applyProtection="1"/>
    <xf numFmtId="0" fontId="12" fillId="3" borderId="1" xfId="0" applyFont="1" applyFill="1" applyBorder="1" applyProtection="1"/>
    <xf numFmtId="2" fontId="1" fillId="3" borderId="1" xfId="0" applyNumberFormat="1" applyFont="1" applyFill="1" applyBorder="1" applyProtection="1"/>
    <xf numFmtId="0" fontId="0" fillId="7" borderId="0" xfId="0" applyFill="1" applyBorder="1" applyProtection="1"/>
    <xf numFmtId="0" fontId="5" fillId="0" borderId="0" xfId="0" applyFont="1" applyAlignment="1" applyProtection="1"/>
    <xf numFmtId="0" fontId="0" fillId="2" borderId="1" xfId="0" applyFill="1" applyBorder="1" applyAlignment="1" applyProtection="1">
      <alignment wrapText="1"/>
    </xf>
    <xf numFmtId="0" fontId="0" fillId="3" borderId="1" xfId="0" applyFill="1" applyBorder="1" applyAlignment="1" applyProtection="1">
      <alignment wrapText="1"/>
    </xf>
    <xf numFmtId="0" fontId="0" fillId="9" borderId="1" xfId="0" applyFill="1" applyBorder="1" applyAlignment="1" applyProtection="1">
      <alignment vertical="center" wrapText="1"/>
    </xf>
    <xf numFmtId="11" fontId="0" fillId="0" borderId="0" xfId="0" applyNumberFormat="1" applyProtection="1"/>
    <xf numFmtId="164" fontId="0" fillId="2" borderId="1" xfId="0" applyNumberFormat="1" applyFill="1" applyBorder="1" applyProtection="1">
      <protection locked="0"/>
    </xf>
    <xf numFmtId="1" fontId="0" fillId="2" borderId="1" xfId="0" applyNumberFormat="1" applyFill="1" applyBorder="1" applyProtection="1">
      <protection locked="0"/>
    </xf>
    <xf numFmtId="0" fontId="22" fillId="2" borderId="1" xfId="0" applyFont="1" applyFill="1" applyBorder="1" applyProtection="1">
      <protection locked="0"/>
    </xf>
    <xf numFmtId="0" fontId="22" fillId="0" borderId="0" xfId="0" applyFont="1" applyProtection="1">
      <protection locked="0"/>
    </xf>
    <xf numFmtId="0" fontId="7" fillId="2" borderId="1" xfId="0" applyFont="1" applyFill="1" applyBorder="1" applyProtection="1">
      <protection locked="0"/>
    </xf>
    <xf numFmtId="2" fontId="19" fillId="2" borderId="1" xfId="0" applyNumberFormat="1" applyFont="1" applyFill="1" applyBorder="1" applyProtection="1">
      <protection locked="0"/>
    </xf>
    <xf numFmtId="0" fontId="42" fillId="2" borderId="1" xfId="0" applyNumberFormat="1" applyFont="1" applyFill="1" applyBorder="1" applyProtection="1">
      <protection locked="0"/>
    </xf>
    <xf numFmtId="0" fontId="42" fillId="9" borderId="1" xfId="0" applyNumberFormat="1" applyFont="1" applyFill="1" applyBorder="1" applyProtection="1">
      <protection locked="0"/>
    </xf>
    <xf numFmtId="164" fontId="42" fillId="2" borderId="1" xfId="0" applyNumberFormat="1" applyFont="1" applyFill="1" applyBorder="1" applyProtection="1">
      <protection locked="0"/>
    </xf>
    <xf numFmtId="165" fontId="42" fillId="2" borderId="31" xfId="0" applyNumberFormat="1" applyFont="1" applyFill="1" applyBorder="1" applyProtection="1">
      <protection locked="0"/>
    </xf>
    <xf numFmtId="0" fontId="19" fillId="2" borderId="1" xfId="0" applyFont="1" applyFill="1" applyBorder="1" applyProtection="1">
      <protection locked="0"/>
    </xf>
    <xf numFmtId="165" fontId="42" fillId="2" borderId="1" xfId="0" applyNumberFormat="1" applyFont="1" applyFill="1" applyBorder="1" applyProtection="1">
      <protection locked="0"/>
    </xf>
    <xf numFmtId="2" fontId="42" fillId="2" borderId="1" xfId="0" applyNumberFormat="1" applyFont="1" applyFill="1" applyBorder="1" applyProtection="1">
      <protection locked="0"/>
    </xf>
    <xf numFmtId="165" fontId="19" fillId="2" borderId="26" xfId="0" applyNumberFormat="1" applyFont="1" applyFill="1" applyBorder="1" applyProtection="1">
      <protection locked="0"/>
    </xf>
    <xf numFmtId="0" fontId="19" fillId="9" borderId="1" xfId="0" applyFont="1" applyFill="1" applyBorder="1" applyProtection="1">
      <protection locked="0"/>
    </xf>
    <xf numFmtId="0" fontId="42" fillId="2" borderId="1" xfId="0" applyNumberFormat="1" applyFont="1" applyFill="1" applyBorder="1" applyAlignment="1" applyProtection="1">
      <alignment horizontal="right"/>
      <protection locked="0"/>
    </xf>
    <xf numFmtId="0" fontId="20" fillId="2" borderId="1" xfId="0" applyFont="1" applyFill="1" applyBorder="1" applyProtection="1">
      <protection locked="0"/>
    </xf>
    <xf numFmtId="0" fontId="7" fillId="9" borderId="1" xfId="0" applyNumberFormat="1" applyFont="1" applyFill="1" applyBorder="1" applyProtection="1">
      <protection locked="0"/>
    </xf>
    <xf numFmtId="0" fontId="7" fillId="2" borderId="1" xfId="0" applyNumberFormat="1" applyFont="1" applyFill="1" applyBorder="1" applyProtection="1">
      <protection locked="0"/>
    </xf>
    <xf numFmtId="0" fontId="7" fillId="2" borderId="1" xfId="0" applyNumberFormat="1" applyFont="1" applyFill="1" applyBorder="1" applyAlignment="1" applyProtection="1">
      <alignment horizontal="right"/>
      <protection locked="0"/>
    </xf>
    <xf numFmtId="0" fontId="15" fillId="2" borderId="1" xfId="1" applyFill="1" applyBorder="1" applyProtection="1">
      <protection locked="0"/>
    </xf>
    <xf numFmtId="0" fontId="52" fillId="0" borderId="0" xfId="1" applyFont="1" applyFill="1" applyBorder="1" applyProtection="1">
      <protection locked="0"/>
    </xf>
    <xf numFmtId="0" fontId="52" fillId="0" borderId="0" xfId="0" applyFont="1" applyBorder="1" applyProtection="1">
      <protection locked="0"/>
    </xf>
    <xf numFmtId="0" fontId="40" fillId="9" borderId="0" xfId="1" applyFont="1" applyFill="1" applyBorder="1" applyProtection="1">
      <protection locked="0"/>
    </xf>
    <xf numFmtId="0" fontId="40" fillId="0" borderId="0" xfId="0" applyFont="1" applyBorder="1" applyProtection="1">
      <protection locked="0"/>
    </xf>
    <xf numFmtId="2" fontId="15" fillId="2" borderId="1" xfId="1" applyNumberFormat="1" applyFill="1" applyBorder="1" applyProtection="1">
      <protection locked="0"/>
    </xf>
    <xf numFmtId="0" fontId="6" fillId="0" borderId="0" xfId="0" applyFont="1" applyProtection="1"/>
    <xf numFmtId="0" fontId="43" fillId="3" borderId="1" xfId="0" applyFont="1" applyFill="1" applyBorder="1" applyProtection="1"/>
    <xf numFmtId="0" fontId="8" fillId="0" borderId="0" xfId="0" applyFont="1" applyFill="1" applyBorder="1" applyProtection="1"/>
    <xf numFmtId="0" fontId="9" fillId="0" borderId="0" xfId="0" applyFont="1" applyProtection="1"/>
    <xf numFmtId="11" fontId="56" fillId="9" borderId="0" xfId="0" applyNumberFormat="1" applyFont="1" applyFill="1" applyProtection="1"/>
    <xf numFmtId="0" fontId="10" fillId="0" borderId="0" xfId="0" applyFont="1" applyProtection="1"/>
    <xf numFmtId="165" fontId="11" fillId="3" borderId="1" xfId="0" applyNumberFormat="1" applyFont="1" applyFill="1" applyBorder="1" applyProtection="1"/>
    <xf numFmtId="0" fontId="2" fillId="0" borderId="0" xfId="0" applyFont="1" applyAlignment="1" applyProtection="1">
      <alignment vertical="center"/>
    </xf>
    <xf numFmtId="0" fontId="1" fillId="9" borderId="0" xfId="0" applyFont="1" applyFill="1" applyAlignment="1" applyProtection="1">
      <alignment vertical="center"/>
    </xf>
    <xf numFmtId="0" fontId="1" fillId="9" borderId="0" xfId="0" applyFont="1" applyFill="1" applyProtection="1"/>
    <xf numFmtId="0" fontId="66" fillId="9" borderId="0" xfId="0" applyFont="1" applyFill="1" applyProtection="1"/>
    <xf numFmtId="0" fontId="0" fillId="9" borderId="0" xfId="0" applyFont="1" applyFill="1" applyAlignment="1" applyProtection="1">
      <alignment vertical="center"/>
    </xf>
    <xf numFmtId="0" fontId="0" fillId="9" borderId="0" xfId="0" applyFont="1" applyFill="1" applyProtection="1"/>
    <xf numFmtId="0" fontId="17" fillId="0" borderId="0" xfId="0" applyFont="1" applyProtection="1"/>
    <xf numFmtId="0" fontId="5" fillId="0" borderId="1" xfId="0" applyFont="1" applyFill="1" applyBorder="1" applyProtection="1"/>
    <xf numFmtId="0" fontId="5" fillId="0" borderId="1" xfId="0" applyFont="1" applyBorder="1" applyProtection="1"/>
    <xf numFmtId="0" fontId="7" fillId="0" borderId="1" xfId="0" applyFont="1" applyBorder="1" applyAlignment="1" applyProtection="1">
      <alignment horizontal="left"/>
    </xf>
    <xf numFmtId="0" fontId="89" fillId="0" borderId="1" xfId="0" applyFont="1" applyBorder="1" applyAlignment="1" applyProtection="1"/>
    <xf numFmtId="164" fontId="11" fillId="3" borderId="1" xfId="0" applyNumberFormat="1" applyFont="1" applyFill="1" applyBorder="1" applyAlignment="1" applyProtection="1">
      <alignment horizontal="right"/>
    </xf>
    <xf numFmtId="0" fontId="58" fillId="0" borderId="1" xfId="0" applyFont="1" applyFill="1" applyBorder="1" applyAlignment="1" applyProtection="1">
      <alignment horizontal="left"/>
    </xf>
    <xf numFmtId="0" fontId="44" fillId="0" borderId="1" xfId="0" applyFont="1" applyFill="1" applyBorder="1" applyAlignment="1" applyProtection="1">
      <alignment horizontal="left"/>
    </xf>
    <xf numFmtId="0" fontId="24" fillId="0" borderId="1" xfId="0" applyFont="1" applyBorder="1" applyAlignment="1" applyProtection="1">
      <alignment horizontal="center"/>
    </xf>
    <xf numFmtId="0" fontId="11" fillId="0" borderId="1" xfId="0" applyFont="1" applyBorder="1" applyAlignment="1" applyProtection="1">
      <alignment horizontal="left"/>
    </xf>
    <xf numFmtId="0" fontId="1" fillId="9" borderId="1" xfId="0" applyFont="1" applyFill="1" applyBorder="1" applyAlignment="1" applyProtection="1">
      <alignment horizontal="right"/>
    </xf>
    <xf numFmtId="0" fontId="19" fillId="9" borderId="35" xfId="0" applyFont="1" applyFill="1" applyBorder="1"/>
    <xf numFmtId="0" fontId="19" fillId="9" borderId="26" xfId="0" applyFont="1" applyFill="1" applyBorder="1"/>
    <xf numFmtId="0" fontId="0" fillId="9" borderId="1" xfId="0" applyFill="1" applyBorder="1" applyAlignment="1">
      <alignment wrapText="1"/>
    </xf>
    <xf numFmtId="0" fontId="1" fillId="9" borderId="1" xfId="0" applyFont="1" applyFill="1" applyBorder="1" applyAlignment="1">
      <alignment wrapText="1"/>
    </xf>
    <xf numFmtId="0" fontId="5" fillId="9" borderId="1" xfId="0" applyFont="1" applyFill="1" applyBorder="1"/>
    <xf numFmtId="0" fontId="30" fillId="9" borderId="1" xfId="0" applyFont="1" applyFill="1" applyBorder="1"/>
    <xf numFmtId="2" fontId="23" fillId="9" borderId="1" xfId="0" applyNumberFormat="1" applyFont="1" applyFill="1" applyBorder="1"/>
    <xf numFmtId="0" fontId="5" fillId="2" borderId="1" xfId="0" applyFont="1" applyFill="1" applyBorder="1" applyAlignment="1" applyProtection="1">
      <alignment horizontal="center"/>
      <protection locked="0"/>
    </xf>
    <xf numFmtId="0" fontId="0" fillId="9" borderId="1" xfId="0" quotePrefix="1" applyFill="1" applyBorder="1" applyAlignment="1">
      <alignment wrapText="1"/>
    </xf>
    <xf numFmtId="0" fontId="1" fillId="9" borderId="1" xfId="0" applyFont="1" applyFill="1" applyBorder="1"/>
    <xf numFmtId="0" fontId="90" fillId="0" borderId="0" xfId="0" applyFont="1" applyProtection="1"/>
    <xf numFmtId="0" fontId="12" fillId="0" borderId="1" xfId="0" applyFont="1" applyBorder="1" applyProtection="1"/>
    <xf numFmtId="0" fontId="0" fillId="0" borderId="0" xfId="0" quotePrefix="1" applyFill="1" applyBorder="1"/>
    <xf numFmtId="0" fontId="53" fillId="2" borderId="1" xfId="0" applyFont="1" applyFill="1" applyBorder="1" applyAlignment="1" applyProtection="1">
      <alignment horizontal="center"/>
      <protection locked="0"/>
    </xf>
    <xf numFmtId="0" fontId="10" fillId="0" borderId="1" xfId="0" applyFont="1" applyBorder="1" applyProtection="1"/>
    <xf numFmtId="0" fontId="7" fillId="0" borderId="1" xfId="0" applyFont="1" applyBorder="1" applyAlignment="1" applyProtection="1">
      <alignment horizontal="right"/>
    </xf>
    <xf numFmtId="0" fontId="7" fillId="0" borderId="1" xfId="0" applyFont="1" applyBorder="1" applyAlignment="1" applyProtection="1"/>
    <xf numFmtId="170" fontId="0" fillId="9" borderId="1" xfId="0" applyNumberFormat="1" applyFill="1" applyBorder="1" applyAlignment="1" applyProtection="1">
      <alignment horizontal="right"/>
    </xf>
    <xf numFmtId="0" fontId="53" fillId="3" borderId="1" xfId="0" applyFont="1" applyFill="1" applyBorder="1" applyAlignment="1" applyProtection="1">
      <alignment horizontal="right"/>
    </xf>
    <xf numFmtId="0" fontId="42" fillId="0" borderId="1" xfId="0" applyFont="1" applyBorder="1" applyAlignment="1" applyProtection="1">
      <alignment horizontal="left"/>
    </xf>
    <xf numFmtId="2" fontId="7" fillId="9" borderId="1" xfId="0" applyNumberFormat="1" applyFont="1" applyFill="1" applyBorder="1" applyAlignment="1" applyProtection="1">
      <alignment horizontal="right"/>
    </xf>
    <xf numFmtId="171" fontId="0" fillId="9" borderId="1" xfId="0" applyNumberFormat="1" applyFill="1" applyBorder="1"/>
    <xf numFmtId="166" fontId="0" fillId="9" borderId="1" xfId="0" applyNumberFormat="1" applyFill="1" applyBorder="1" applyProtection="1"/>
    <xf numFmtId="2" fontId="45" fillId="9" borderId="1" xfId="0" applyNumberFormat="1" applyFont="1" applyFill="1" applyBorder="1" applyAlignment="1" applyProtection="1">
      <alignment horizontal="right"/>
    </xf>
    <xf numFmtId="165" fontId="46" fillId="9" borderId="1" xfId="0" applyNumberFormat="1" applyFont="1" applyFill="1" applyBorder="1" applyAlignment="1" applyProtection="1">
      <alignment horizontal="right"/>
    </xf>
    <xf numFmtId="166" fontId="46" fillId="9" borderId="1" xfId="0" applyNumberFormat="1" applyFont="1" applyFill="1" applyBorder="1" applyAlignment="1" applyProtection="1">
      <alignment horizontal="right"/>
    </xf>
    <xf numFmtId="165" fontId="10" fillId="9" borderId="1" xfId="0" applyNumberFormat="1" applyFont="1" applyFill="1" applyBorder="1" applyAlignment="1" applyProtection="1">
      <alignment horizontal="right"/>
    </xf>
    <xf numFmtId="164" fontId="1" fillId="9" borderId="1" xfId="0" applyNumberFormat="1" applyFont="1" applyFill="1" applyBorder="1" applyAlignment="1" applyProtection="1">
      <alignment horizontal="right"/>
    </xf>
    <xf numFmtId="164" fontId="42" fillId="9" borderId="1" xfId="0" applyNumberFormat="1" applyFont="1" applyFill="1" applyBorder="1" applyAlignment="1" applyProtection="1">
      <alignment horizontal="right"/>
    </xf>
    <xf numFmtId="0" fontId="42" fillId="0" borderId="1" xfId="0" applyFont="1" applyBorder="1" applyProtection="1"/>
    <xf numFmtId="165" fontId="7" fillId="9" borderId="1" xfId="0" applyNumberFormat="1" applyFont="1" applyFill="1" applyBorder="1" applyAlignment="1" applyProtection="1">
      <alignment horizontal="left"/>
    </xf>
    <xf numFmtId="166" fontId="7" fillId="9" borderId="1" xfId="0" applyNumberFormat="1" applyFont="1" applyFill="1" applyBorder="1" applyAlignment="1" applyProtection="1">
      <alignment horizontal="left"/>
    </xf>
    <xf numFmtId="164" fontId="5" fillId="9" borderId="1" xfId="0" applyNumberFormat="1" applyFont="1" applyFill="1" applyBorder="1" applyAlignment="1" applyProtection="1">
      <alignment horizontal="right"/>
    </xf>
    <xf numFmtId="0" fontId="0" fillId="0" borderId="0" xfId="0" applyProtection="1">
      <protection locked="0"/>
    </xf>
    <xf numFmtId="2" fontId="0" fillId="0" borderId="0" xfId="0" applyNumberFormat="1" applyAlignment="1" applyProtection="1">
      <alignment horizontal="right"/>
      <protection locked="0"/>
    </xf>
    <xf numFmtId="0" fontId="0" fillId="0" borderId="0" xfId="0" applyAlignment="1" applyProtection="1">
      <alignment horizontal="right"/>
      <protection locked="0"/>
    </xf>
    <xf numFmtId="0" fontId="0" fillId="0" borderId="0" xfId="0" applyAlignment="1" applyProtection="1">
      <protection locked="0"/>
    </xf>
    <xf numFmtId="0" fontId="1" fillId="9" borderId="1" xfId="0" applyFont="1" applyFill="1" applyBorder="1" applyProtection="1">
      <protection locked="0"/>
    </xf>
    <xf numFmtId="0" fontId="1" fillId="9" borderId="1" xfId="0" applyFont="1" applyFill="1" applyBorder="1" applyAlignment="1" applyProtection="1">
      <alignment horizontal="right"/>
      <protection locked="0"/>
    </xf>
    <xf numFmtId="0" fontId="0" fillId="9" borderId="1" xfId="0" applyFill="1" applyBorder="1" applyAlignment="1" applyProtection="1">
      <alignment horizontal="right"/>
      <protection locked="0"/>
    </xf>
    <xf numFmtId="0" fontId="0" fillId="9" borderId="1" xfId="0" applyFill="1" applyBorder="1" applyAlignment="1" applyProtection="1">
      <protection locked="0"/>
    </xf>
    <xf numFmtId="0" fontId="0" fillId="9" borderId="0" xfId="0" applyFill="1" applyBorder="1" applyProtection="1">
      <protection locked="0"/>
    </xf>
    <xf numFmtId="0" fontId="5" fillId="0" borderId="0" xfId="0" applyFont="1" applyFill="1" applyBorder="1" applyProtection="1">
      <protection locked="0"/>
    </xf>
    <xf numFmtId="0" fontId="0" fillId="0" borderId="0" xfId="0" applyFill="1" applyBorder="1" applyProtection="1">
      <protection locked="0"/>
    </xf>
    <xf numFmtId="0" fontId="24" fillId="0" borderId="1" xfId="0" applyFont="1" applyFill="1" applyBorder="1" applyAlignment="1" applyProtection="1"/>
    <xf numFmtId="0" fontId="22" fillId="7" borderId="1" xfId="3" applyFont="1" applyFill="1" applyBorder="1" applyProtection="1"/>
    <xf numFmtId="0" fontId="22" fillId="7" borderId="1" xfId="3" applyFont="1" applyFill="1" applyBorder="1" applyAlignment="1" applyProtection="1">
      <alignment horizontal="center"/>
    </xf>
    <xf numFmtId="11" fontId="22" fillId="8" borderId="1" xfId="3" applyNumberFormat="1" applyFont="1" applyFill="1" applyBorder="1" applyAlignment="1" applyProtection="1">
      <alignment horizontal="right"/>
      <protection locked="0"/>
    </xf>
    <xf numFmtId="0" fontId="22" fillId="7" borderId="1" xfId="3" applyFont="1" applyFill="1" applyBorder="1" applyAlignment="1" applyProtection="1">
      <alignment horizontal="left"/>
    </xf>
    <xf numFmtId="0" fontId="43" fillId="0" borderId="1" xfId="3" applyFont="1" applyFill="1" applyBorder="1" applyAlignment="1" applyProtection="1">
      <alignment horizontal="left"/>
    </xf>
    <xf numFmtId="0" fontId="22" fillId="7" borderId="1" xfId="3" applyFont="1" applyFill="1" applyBorder="1" applyAlignment="1" applyProtection="1"/>
    <xf numFmtId="165" fontId="22" fillId="8" borderId="1" xfId="3" applyNumberFormat="1" applyFont="1" applyFill="1" applyBorder="1" applyAlignment="1" applyProtection="1">
      <alignment horizontal="right"/>
      <protection locked="0"/>
    </xf>
    <xf numFmtId="0" fontId="86" fillId="7" borderId="1" xfId="3" applyFont="1" applyFill="1" applyBorder="1" applyAlignment="1" applyProtection="1">
      <alignment horizontal="center"/>
    </xf>
    <xf numFmtId="2" fontId="22" fillId="8" borderId="1" xfId="3" applyNumberFormat="1" applyFont="1" applyFill="1" applyBorder="1" applyAlignment="1" applyProtection="1">
      <alignment horizontal="right"/>
      <protection locked="0"/>
    </xf>
    <xf numFmtId="164" fontId="22" fillId="8" borderId="1" xfId="3" applyNumberFormat="1" applyFont="1" applyFill="1" applyBorder="1" applyAlignment="1" applyProtection="1">
      <alignment horizontal="right"/>
      <protection locked="0"/>
    </xf>
    <xf numFmtId="2" fontId="19" fillId="9" borderId="1" xfId="0" applyNumberFormat="1" applyFont="1" applyFill="1" applyBorder="1"/>
    <xf numFmtId="2" fontId="19" fillId="9" borderId="26" xfId="0" applyNumberFormat="1" applyFont="1" applyFill="1" applyBorder="1"/>
    <xf numFmtId="0" fontId="0" fillId="7" borderId="1" xfId="0" applyFill="1" applyBorder="1" applyProtection="1"/>
    <xf numFmtId="0" fontId="17" fillId="0" borderId="0" xfId="0" applyFont="1" applyProtection="1">
      <protection locked="0"/>
    </xf>
    <xf numFmtId="0" fontId="18" fillId="0" borderId="0" xfId="0" applyFont="1" applyProtection="1">
      <protection locked="0"/>
    </xf>
    <xf numFmtId="11" fontId="56" fillId="9" borderId="1" xfId="0" applyNumberFormat="1" applyFont="1" applyFill="1" applyBorder="1" applyProtection="1"/>
    <xf numFmtId="170" fontId="0" fillId="9" borderId="1" xfId="0" applyNumberFormat="1" applyFill="1" applyBorder="1" applyProtection="1"/>
    <xf numFmtId="164" fontId="7" fillId="3" borderId="1" xfId="0" applyNumberFormat="1" applyFont="1" applyFill="1" applyBorder="1" applyProtection="1"/>
    <xf numFmtId="2" fontId="0" fillId="9" borderId="1" xfId="0" applyNumberFormat="1" applyFill="1" applyBorder="1" applyProtection="1"/>
    <xf numFmtId="1" fontId="10" fillId="3" borderId="1" xfId="0" applyNumberFormat="1" applyFont="1" applyFill="1" applyBorder="1"/>
    <xf numFmtId="0" fontId="1" fillId="3" borderId="1" xfId="0" applyFont="1" applyFill="1" applyBorder="1" applyAlignment="1" applyProtection="1">
      <alignment horizontal="right"/>
    </xf>
    <xf numFmtId="0" fontId="6" fillId="0" borderId="1" xfId="0" applyFont="1" applyBorder="1" applyAlignment="1" applyProtection="1"/>
    <xf numFmtId="0" fontId="8" fillId="0" borderId="1" xfId="0" applyFont="1" applyBorder="1" applyAlignment="1" applyProtection="1"/>
    <xf numFmtId="1" fontId="7" fillId="9" borderId="1" xfId="0" applyNumberFormat="1" applyFont="1" applyFill="1" applyBorder="1"/>
    <xf numFmtId="1" fontId="1" fillId="3" borderId="1" xfId="0" applyNumberFormat="1" applyFont="1" applyFill="1" applyBorder="1" applyAlignment="1">
      <alignment horizontal="right"/>
    </xf>
    <xf numFmtId="1" fontId="0" fillId="9" borderId="0" xfId="0" applyNumberFormat="1" applyFont="1" applyFill="1" applyBorder="1"/>
    <xf numFmtId="1" fontId="0" fillId="9" borderId="0" xfId="0" applyNumberFormat="1" applyFont="1" applyFill="1" applyBorder="1" applyAlignment="1">
      <alignment horizontal="right"/>
    </xf>
    <xf numFmtId="164" fontId="1" fillId="9" borderId="34" xfId="0" applyNumberFormat="1" applyFont="1" applyFill="1" applyBorder="1"/>
    <xf numFmtId="0" fontId="51" fillId="0" borderId="0" xfId="0" applyFont="1" applyFill="1" applyBorder="1"/>
    <xf numFmtId="2" fontId="0" fillId="2" borderId="1" xfId="0" applyNumberFormat="1" applyFont="1" applyFill="1" applyBorder="1" applyProtection="1">
      <protection locked="0"/>
    </xf>
    <xf numFmtId="14" fontId="0" fillId="0" borderId="0" xfId="0" applyNumberFormat="1" applyProtection="1"/>
    <xf numFmtId="0" fontId="93" fillId="0" borderId="0" xfId="0" applyFont="1" applyProtection="1"/>
    <xf numFmtId="2" fontId="1" fillId="3" borderId="1" xfId="0" quotePrefix="1" applyNumberFormat="1" applyFont="1" applyFill="1" applyBorder="1"/>
    <xf numFmtId="0" fontId="0" fillId="12" borderId="1" xfId="0" applyFill="1" applyBorder="1"/>
    <xf numFmtId="0" fontId="96" fillId="0" borderId="0" xfId="0" applyFont="1" applyProtection="1">
      <protection locked="0"/>
    </xf>
    <xf numFmtId="0" fontId="0" fillId="0" borderId="0" xfId="0" applyAlignment="1"/>
    <xf numFmtId="0" fontId="14" fillId="2" borderId="1" xfId="1" applyFont="1" applyFill="1" applyBorder="1" applyAlignment="1" applyProtection="1">
      <alignment horizontal="right"/>
      <protection locked="0"/>
    </xf>
    <xf numFmtId="9" fontId="0" fillId="0" borderId="0" xfId="7" applyFont="1"/>
    <xf numFmtId="0" fontId="15" fillId="2" borderId="1" xfId="1" applyFill="1" applyBorder="1" applyAlignment="1" applyProtection="1">
      <alignment horizontal="right"/>
      <protection locked="0"/>
    </xf>
    <xf numFmtId="0" fontId="0" fillId="0" borderId="0" xfId="0" applyNumberFormat="1"/>
    <xf numFmtId="0" fontId="7" fillId="2" borderId="1" xfId="1" applyFont="1" applyFill="1" applyBorder="1" applyAlignment="1" applyProtection="1">
      <alignment horizontal="right"/>
      <protection locked="0"/>
    </xf>
    <xf numFmtId="0" fontId="1" fillId="0" borderId="0" xfId="0" applyFont="1" applyFill="1" applyBorder="1" applyAlignment="1">
      <alignment horizontal="right"/>
    </xf>
    <xf numFmtId="0" fontId="0" fillId="0" borderId="0" xfId="0" applyNumberFormat="1" applyAlignment="1">
      <alignment horizontal="right"/>
    </xf>
    <xf numFmtId="0" fontId="12" fillId="3" borderId="1" xfId="0" applyFont="1" applyFill="1" applyBorder="1" applyAlignment="1" applyProtection="1">
      <alignment horizontal="right"/>
    </xf>
    <xf numFmtId="0" fontId="12" fillId="3" borderId="1" xfId="0" applyFont="1" applyFill="1" applyBorder="1" applyAlignment="1" applyProtection="1">
      <alignment horizontal="left"/>
    </xf>
    <xf numFmtId="0" fontId="44" fillId="0" borderId="0" xfId="0" applyFont="1" applyFill="1" applyBorder="1" applyAlignment="1">
      <alignment horizontal="right"/>
    </xf>
    <xf numFmtId="0" fontId="0" fillId="0" borderId="0" xfId="0" applyFill="1" applyBorder="1" applyAlignment="1" applyProtection="1">
      <alignment horizontal="left" vertical="center"/>
    </xf>
    <xf numFmtId="0" fontId="7" fillId="9" borderId="1" xfId="1" applyFont="1" applyFill="1" applyBorder="1" applyAlignment="1" applyProtection="1">
      <alignment horizontal="right"/>
    </xf>
    <xf numFmtId="0" fontId="14" fillId="2" borderId="35" xfId="1" applyFont="1" applyFill="1" applyBorder="1" applyAlignment="1" applyProtection="1">
      <alignment horizontal="right"/>
      <protection locked="0"/>
    </xf>
    <xf numFmtId="165" fontId="12" fillId="3" borderId="1" xfId="0" applyNumberFormat="1" applyFont="1" applyFill="1" applyBorder="1" applyAlignment="1" applyProtection="1">
      <alignment horizontal="right"/>
    </xf>
    <xf numFmtId="11" fontId="12" fillId="3" borderId="1" xfId="0" applyNumberFormat="1" applyFont="1" applyFill="1" applyBorder="1" applyAlignment="1" applyProtection="1">
      <alignment horizontal="right"/>
    </xf>
    <xf numFmtId="0" fontId="44" fillId="0" borderId="0" xfId="0" applyFont="1" applyBorder="1" applyAlignment="1">
      <alignment horizontal="right"/>
    </xf>
    <xf numFmtId="0" fontId="1" fillId="0" borderId="0" xfId="0" applyFont="1" applyAlignment="1">
      <alignment horizontal="right"/>
    </xf>
    <xf numFmtId="165" fontId="7" fillId="3" borderId="1" xfId="0" applyNumberFormat="1" applyFont="1" applyFill="1" applyBorder="1"/>
    <xf numFmtId="165" fontId="10" fillId="3" borderId="1" xfId="0" applyNumberFormat="1" applyFont="1" applyFill="1" applyBorder="1"/>
    <xf numFmtId="166" fontId="0" fillId="0" borderId="0" xfId="0" applyNumberFormat="1"/>
    <xf numFmtId="165" fontId="0" fillId="9" borderId="1" xfId="0" applyNumberFormat="1" applyFill="1" applyBorder="1" applyAlignment="1" applyProtection="1">
      <alignment horizontal="right"/>
      <protection locked="0"/>
    </xf>
    <xf numFmtId="0" fontId="19" fillId="3" borderId="1" xfId="0" applyFont="1" applyFill="1" applyBorder="1" applyProtection="1"/>
    <xf numFmtId="0" fontId="31" fillId="0" borderId="0" xfId="0" applyFont="1" applyAlignment="1" applyProtection="1">
      <alignment vertical="center" wrapText="1"/>
    </xf>
    <xf numFmtId="0" fontId="0" fillId="0" borderId="0" xfId="0" applyAlignment="1">
      <alignment vertical="center" wrapText="1"/>
    </xf>
    <xf numFmtId="0" fontId="35" fillId="0" borderId="0" xfId="4" applyAlignment="1">
      <alignment vertical="center"/>
    </xf>
    <xf numFmtId="0" fontId="1" fillId="0" borderId="0" xfId="0" applyFont="1" applyAlignment="1">
      <alignment vertical="center" wrapText="1"/>
    </xf>
    <xf numFmtId="0" fontId="35" fillId="0" borderId="0" xfId="4" applyBorder="1" applyAlignment="1">
      <alignment horizontal="left"/>
    </xf>
    <xf numFmtId="0" fontId="1" fillId="2" borderId="1" xfId="0" applyFont="1" applyFill="1" applyBorder="1" applyAlignment="1" applyProtection="1">
      <alignment horizontal="center"/>
      <protection locked="0"/>
    </xf>
    <xf numFmtId="0" fontId="35" fillId="0" borderId="0" xfId="4" applyFill="1" applyBorder="1"/>
    <xf numFmtId="0" fontId="6" fillId="0" borderId="0" xfId="0" applyFont="1"/>
    <xf numFmtId="0" fontId="31" fillId="0" borderId="0" xfId="0" applyFont="1" applyAlignment="1" applyProtection="1">
      <alignment vertical="center" wrapText="1"/>
    </xf>
    <xf numFmtId="0" fontId="0" fillId="0" borderId="0" xfId="0" applyAlignment="1">
      <alignment vertical="center" wrapText="1"/>
    </xf>
    <xf numFmtId="170" fontId="0" fillId="0" borderId="0" xfId="0" applyNumberFormat="1"/>
    <xf numFmtId="0" fontId="98" fillId="0" borderId="0" xfId="0" applyFont="1" applyAlignment="1">
      <alignment vertical="center" wrapText="1"/>
    </xf>
    <xf numFmtId="0" fontId="20" fillId="0" borderId="0" xfId="0" applyFont="1" applyFill="1" applyBorder="1" applyProtection="1">
      <protection locked="0"/>
    </xf>
    <xf numFmtId="0" fontId="0" fillId="0" borderId="0" xfId="0" applyFont="1" applyBorder="1"/>
    <xf numFmtId="0" fontId="95" fillId="7" borderId="0" xfId="0" applyFont="1" applyFill="1" applyBorder="1"/>
    <xf numFmtId="0" fontId="100" fillId="0" borderId="0" xfId="0" applyFont="1"/>
    <xf numFmtId="165" fontId="0" fillId="9" borderId="0" xfId="0" applyNumberFormat="1" applyFont="1" applyFill="1" applyBorder="1"/>
    <xf numFmtId="165" fontId="0" fillId="0" borderId="0" xfId="0" applyNumberFormat="1" applyFont="1" applyFill="1" applyBorder="1"/>
    <xf numFmtId="0" fontId="41" fillId="7" borderId="0" xfId="0" applyFont="1" applyFill="1" applyProtection="1">
      <protection locked="0"/>
    </xf>
    <xf numFmtId="0" fontId="79" fillId="7" borderId="0" xfId="0" applyFont="1" applyFill="1" applyProtection="1">
      <protection locked="0"/>
    </xf>
    <xf numFmtId="1" fontId="7" fillId="3" borderId="1" xfId="0" applyNumberFormat="1" applyFont="1" applyFill="1" applyBorder="1"/>
    <xf numFmtId="2" fontId="0" fillId="9" borderId="0" xfId="0" applyNumberFormat="1" applyFont="1" applyFill="1"/>
    <xf numFmtId="1" fontId="0" fillId="3" borderId="1" xfId="0" applyNumberFormat="1" applyFont="1" applyFill="1" applyBorder="1"/>
    <xf numFmtId="1" fontId="0" fillId="3" borderId="26" xfId="0" applyNumberFormat="1" applyFont="1" applyFill="1" applyBorder="1"/>
    <xf numFmtId="0" fontId="0" fillId="0" borderId="1" xfId="0" applyFont="1" applyBorder="1"/>
    <xf numFmtId="0" fontId="79" fillId="0" borderId="1" xfId="0" applyFont="1" applyFill="1" applyBorder="1" applyProtection="1">
      <protection locked="0"/>
    </xf>
    <xf numFmtId="0" fontId="79" fillId="0" borderId="0" xfId="0" applyFont="1" applyFill="1" applyBorder="1"/>
    <xf numFmtId="0" fontId="79" fillId="7" borderId="1" xfId="0" applyFont="1" applyFill="1" applyBorder="1" applyProtection="1">
      <protection locked="0"/>
    </xf>
    <xf numFmtId="0" fontId="5" fillId="0" borderId="0" xfId="0" applyFont="1" applyAlignment="1">
      <alignment horizontal="right"/>
    </xf>
    <xf numFmtId="166" fontId="0" fillId="9" borderId="1" xfId="0" applyNumberFormat="1" applyFill="1" applyBorder="1" applyProtection="1">
      <protection locked="0"/>
    </xf>
    <xf numFmtId="0" fontId="5" fillId="0" borderId="0" xfId="0" applyFont="1" applyProtection="1"/>
    <xf numFmtId="0" fontId="5" fillId="0" borderId="0" xfId="0" applyFont="1" applyFill="1" applyBorder="1" applyProtection="1"/>
    <xf numFmtId="165" fontId="7" fillId="0" borderId="28" xfId="0" applyNumberFormat="1" applyFont="1" applyFill="1" applyBorder="1" applyProtection="1"/>
    <xf numFmtId="0" fontId="0" fillId="0" borderId="0" xfId="0" applyFill="1" applyBorder="1" applyProtection="1"/>
    <xf numFmtId="2" fontId="7" fillId="3" borderId="1" xfId="0" applyNumberFormat="1" applyFont="1" applyFill="1" applyBorder="1" applyProtection="1"/>
    <xf numFmtId="165" fontId="7" fillId="9" borderId="1" xfId="0" applyNumberFormat="1" applyFont="1" applyFill="1" applyBorder="1" applyProtection="1"/>
    <xf numFmtId="0" fontId="0" fillId="0" borderId="1" xfId="0" applyBorder="1" applyProtection="1">
      <protection locked="0"/>
    </xf>
    <xf numFmtId="2" fontId="0" fillId="0" borderId="0" xfId="0" applyNumberFormat="1"/>
    <xf numFmtId="165" fontId="0" fillId="0" borderId="0" xfId="0" applyNumberFormat="1"/>
    <xf numFmtId="0" fontId="0" fillId="0" borderId="0" xfId="0" applyAlignment="1">
      <alignment horizontal="center"/>
    </xf>
    <xf numFmtId="0" fontId="35" fillId="0" borderId="0" xfId="4" applyProtection="1">
      <protection locked="0"/>
    </xf>
    <xf numFmtId="0" fontId="5" fillId="0" borderId="0" xfId="0" applyFont="1" applyFill="1" applyAlignment="1">
      <alignment horizontal="left"/>
    </xf>
    <xf numFmtId="164" fontId="0" fillId="2" borderId="1" xfId="0" applyNumberFormat="1" applyFill="1" applyBorder="1" applyAlignment="1" applyProtection="1">
      <alignment horizontal="right"/>
      <protection locked="0"/>
    </xf>
    <xf numFmtId="0" fontId="1" fillId="9" borderId="1" xfId="0" applyFont="1" applyFill="1" applyBorder="1" applyAlignment="1">
      <alignment horizontal="center"/>
    </xf>
    <xf numFmtId="2" fontId="0" fillId="2" borderId="1" xfId="0" applyNumberFormat="1" applyFill="1" applyBorder="1" applyAlignment="1" applyProtection="1">
      <alignment horizontal="right"/>
      <protection locked="0"/>
    </xf>
    <xf numFmtId="0" fontId="0" fillId="0" borderId="1" xfId="0" applyBorder="1" applyAlignment="1">
      <alignment horizontal="left"/>
    </xf>
    <xf numFmtId="0" fontId="0" fillId="0" borderId="1" xfId="0" applyBorder="1" applyAlignment="1">
      <alignment horizontal="center"/>
    </xf>
    <xf numFmtId="165" fontId="0" fillId="3" borderId="1" xfId="0" applyNumberFormat="1" applyFill="1" applyBorder="1" applyAlignment="1">
      <alignment horizontal="right"/>
    </xf>
    <xf numFmtId="1" fontId="0" fillId="3" borderId="1" xfId="0" applyNumberFormat="1" applyFill="1" applyBorder="1" applyAlignment="1">
      <alignment horizontal="center"/>
    </xf>
    <xf numFmtId="2" fontId="0" fillId="3" borderId="1" xfId="0" applyNumberFormat="1" applyFill="1" applyBorder="1" applyAlignment="1">
      <alignment horizontal="right"/>
    </xf>
    <xf numFmtId="0" fontId="0" fillId="0" borderId="0" xfId="0" applyFill="1" applyAlignment="1">
      <alignment horizontal="right"/>
    </xf>
    <xf numFmtId="0" fontId="0" fillId="11" borderId="1" xfId="0" applyFill="1" applyBorder="1" applyAlignment="1" applyProtection="1">
      <alignment horizontal="right"/>
      <protection locked="0"/>
    </xf>
    <xf numFmtId="0" fontId="1" fillId="10" borderId="1" xfId="0" applyFont="1" applyFill="1" applyBorder="1" applyAlignment="1">
      <alignment horizontal="right"/>
    </xf>
    <xf numFmtId="164" fontId="20" fillId="3" borderId="1" xfId="0" applyNumberFormat="1" applyFont="1" applyFill="1" applyBorder="1" applyAlignment="1">
      <alignment horizontal="right"/>
    </xf>
    <xf numFmtId="2" fontId="57" fillId="3" borderId="1" xfId="0" applyNumberFormat="1" applyFont="1" applyFill="1" applyBorder="1" applyAlignment="1">
      <alignment horizontal="right"/>
    </xf>
    <xf numFmtId="2" fontId="20" fillId="3" borderId="1" xfId="0" applyNumberFormat="1" applyFont="1" applyFill="1" applyBorder="1" applyAlignment="1">
      <alignment horizontal="right"/>
    </xf>
    <xf numFmtId="1" fontId="1" fillId="10" borderId="1" xfId="0" applyNumberFormat="1" applyFont="1" applyFill="1" applyBorder="1" applyAlignment="1">
      <alignment horizontal="right"/>
    </xf>
    <xf numFmtId="2" fontId="1" fillId="10" borderId="1" xfId="0" applyNumberFormat="1" applyFont="1" applyFill="1" applyBorder="1" applyAlignment="1">
      <alignment horizontal="center"/>
    </xf>
    <xf numFmtId="0" fontId="1" fillId="9" borderId="0" xfId="0" applyFont="1" applyFill="1" applyBorder="1"/>
    <xf numFmtId="0" fontId="0" fillId="9" borderId="0" xfId="0" applyFill="1" applyAlignment="1">
      <alignment horizontal="center"/>
    </xf>
    <xf numFmtId="0" fontId="0" fillId="9" borderId="0" xfId="0" applyFill="1" applyBorder="1"/>
    <xf numFmtId="169" fontId="0" fillId="9" borderId="1" xfId="0" applyNumberFormat="1" applyFill="1" applyBorder="1" applyAlignment="1" applyProtection="1">
      <alignment horizontal="center"/>
      <protection locked="0"/>
    </xf>
    <xf numFmtId="0" fontId="0" fillId="9" borderId="0" xfId="0" applyFill="1" applyBorder="1" applyAlignment="1">
      <alignment horizontal="center"/>
    </xf>
    <xf numFmtId="0" fontId="20" fillId="9" borderId="0" xfId="0" applyFont="1" applyFill="1" applyBorder="1" applyAlignment="1">
      <alignment horizontal="left"/>
    </xf>
    <xf numFmtId="168" fontId="20" fillId="9" borderId="0" xfId="0" applyNumberFormat="1" applyFont="1" applyFill="1" applyBorder="1" applyAlignment="1">
      <alignment horizontal="left"/>
    </xf>
    <xf numFmtId="10" fontId="0" fillId="9" borderId="1" xfId="0" applyNumberFormat="1" applyFill="1" applyBorder="1" applyAlignment="1" applyProtection="1">
      <alignment horizontal="center"/>
      <protection locked="0"/>
    </xf>
    <xf numFmtId="48" fontId="20" fillId="9" borderId="0" xfId="0" applyNumberFormat="1" applyFont="1" applyFill="1" applyBorder="1" applyAlignment="1">
      <alignment horizontal="left"/>
    </xf>
    <xf numFmtId="0" fontId="5" fillId="0" borderId="0" xfId="0" applyFont="1" applyFill="1" applyBorder="1"/>
    <xf numFmtId="2" fontId="22" fillId="0" borderId="0" xfId="0" applyNumberFormat="1" applyFont="1" applyFill="1" applyBorder="1"/>
    <xf numFmtId="1" fontId="0" fillId="2" borderId="1" xfId="0" applyNumberFormat="1" applyFill="1" applyBorder="1" applyAlignment="1" applyProtection="1">
      <alignment horizontal="right"/>
      <protection locked="0"/>
    </xf>
    <xf numFmtId="1" fontId="0" fillId="9" borderId="1" xfId="0" applyNumberFormat="1" applyFill="1" applyBorder="1" applyAlignment="1" applyProtection="1">
      <alignment horizontal="right"/>
      <protection locked="0"/>
    </xf>
    <xf numFmtId="2" fontId="0" fillId="2" borderId="1" xfId="0" applyNumberFormat="1" applyFont="1" applyFill="1" applyBorder="1" applyAlignment="1">
      <alignment horizontal="right"/>
    </xf>
    <xf numFmtId="0" fontId="0" fillId="0" borderId="0" xfId="0" applyFont="1" applyAlignment="1">
      <alignment horizontal="left"/>
    </xf>
    <xf numFmtId="165" fontId="33" fillId="9" borderId="1" xfId="0" applyNumberFormat="1" applyFont="1" applyFill="1" applyBorder="1" applyAlignment="1">
      <alignment horizontal="center"/>
    </xf>
    <xf numFmtId="0" fontId="0" fillId="0" borderId="0" xfId="0" applyFont="1" applyAlignment="1">
      <alignment horizontal="center"/>
    </xf>
    <xf numFmtId="165" fontId="0" fillId="9" borderId="1" xfId="0" applyNumberFormat="1" applyFont="1" applyFill="1" applyBorder="1" applyAlignment="1">
      <alignment horizontal="center"/>
    </xf>
    <xf numFmtId="0" fontId="0" fillId="9" borderId="1" xfId="0" applyFont="1" applyFill="1" applyBorder="1" applyAlignment="1">
      <alignment horizontal="center"/>
    </xf>
    <xf numFmtId="168" fontId="23" fillId="0" borderId="0" xfId="0" applyNumberFormat="1" applyFont="1" applyFill="1" applyBorder="1" applyAlignment="1">
      <alignment horizontal="left"/>
    </xf>
    <xf numFmtId="2" fontId="1" fillId="3" borderId="1" xfId="0" applyNumberFormat="1" applyFont="1" applyFill="1" applyBorder="1" applyAlignment="1">
      <alignment horizontal="right"/>
    </xf>
    <xf numFmtId="0" fontId="7" fillId="0" borderId="0" xfId="0" applyFont="1" applyBorder="1"/>
    <xf numFmtId="0" fontId="102" fillId="0" borderId="0" xfId="0" applyFont="1" applyAlignment="1">
      <alignment horizontal="left"/>
    </xf>
    <xf numFmtId="0" fontId="57" fillId="0" borderId="0" xfId="0" applyFont="1" applyBorder="1"/>
    <xf numFmtId="0" fontId="57" fillId="9" borderId="30" xfId="0" applyNumberFormat="1" applyFont="1" applyFill="1" applyBorder="1" applyAlignment="1" applyProtection="1">
      <alignment horizontal="right"/>
      <protection locked="0"/>
    </xf>
    <xf numFmtId="0" fontId="31" fillId="0" borderId="0" xfId="0" applyFont="1" applyAlignment="1">
      <alignment horizontal="left"/>
    </xf>
    <xf numFmtId="0" fontId="57" fillId="9" borderId="30" xfId="0" applyNumberFormat="1" applyFont="1" applyFill="1" applyBorder="1"/>
    <xf numFmtId="0" fontId="20" fillId="0" borderId="0" xfId="0" applyFont="1" applyFill="1" applyBorder="1" applyAlignment="1">
      <alignment wrapText="1"/>
    </xf>
    <xf numFmtId="0" fontId="20" fillId="9" borderId="1" xfId="0" applyFont="1" applyFill="1" applyBorder="1" applyAlignment="1">
      <alignment horizontal="right"/>
    </xf>
    <xf numFmtId="0" fontId="20" fillId="9" borderId="1" xfId="0" applyFont="1" applyFill="1" applyBorder="1" applyAlignment="1">
      <alignment horizontal="center"/>
    </xf>
    <xf numFmtId="0" fontId="20" fillId="9" borderId="1" xfId="0" applyFont="1" applyFill="1" applyBorder="1"/>
    <xf numFmtId="2" fontId="20" fillId="9" borderId="26" xfId="0" applyNumberFormat="1" applyFont="1" applyFill="1" applyBorder="1"/>
    <xf numFmtId="0" fontId="20" fillId="9" borderId="26" xfId="0" applyFont="1" applyFill="1" applyBorder="1"/>
    <xf numFmtId="164" fontId="0" fillId="9" borderId="1" xfId="0" applyNumberFormat="1" applyFill="1" applyBorder="1" applyProtection="1">
      <protection locked="0"/>
    </xf>
    <xf numFmtId="1" fontId="0" fillId="9" borderId="1" xfId="0" applyNumberFormat="1" applyFill="1" applyBorder="1" applyProtection="1">
      <protection locked="0"/>
    </xf>
    <xf numFmtId="166" fontId="1" fillId="3" borderId="1" xfId="0" applyNumberFormat="1" applyFont="1" applyFill="1" applyBorder="1"/>
    <xf numFmtId="1" fontId="7" fillId="9" borderId="0" xfId="0" applyNumberFormat="1" applyFont="1" applyFill="1" applyBorder="1"/>
    <xf numFmtId="1" fontId="100" fillId="0" borderId="0" xfId="0" applyNumberFormat="1" applyFont="1"/>
    <xf numFmtId="1" fontId="0" fillId="0" borderId="0" xfId="0" applyNumberFormat="1"/>
    <xf numFmtId="2" fontId="0" fillId="3" borderId="35" xfId="0" applyNumberFormat="1" applyFill="1" applyBorder="1" applyAlignment="1">
      <alignment horizontal="right"/>
    </xf>
    <xf numFmtId="0" fontId="0" fillId="0" borderId="0" xfId="0" applyFill="1" applyBorder="1" applyAlignment="1">
      <alignment horizontal="left"/>
    </xf>
    <xf numFmtId="2" fontId="0" fillId="0" borderId="0" xfId="0" applyNumberFormat="1" applyFill="1" applyBorder="1" applyAlignment="1">
      <alignment horizontal="center"/>
    </xf>
    <xf numFmtId="2" fontId="0" fillId="9" borderId="1" xfId="0" applyNumberFormat="1" applyFill="1" applyBorder="1" applyAlignment="1">
      <alignment horizontal="right"/>
    </xf>
    <xf numFmtId="0" fontId="20" fillId="0" borderId="1" xfId="0" applyFont="1" applyFill="1" applyBorder="1" applyAlignment="1">
      <alignment horizontal="left"/>
    </xf>
    <xf numFmtId="0" fontId="0" fillId="0" borderId="0" xfId="0" applyFill="1" applyProtection="1">
      <protection locked="0"/>
    </xf>
    <xf numFmtId="0" fontId="0" fillId="0" borderId="0" xfId="0" applyAlignment="1" applyProtection="1">
      <alignment horizontal="center"/>
      <protection locked="0"/>
    </xf>
    <xf numFmtId="0" fontId="0" fillId="0" borderId="0" xfId="0" applyFill="1" applyAlignment="1" applyProtection="1">
      <alignment horizontal="center"/>
      <protection locked="0"/>
    </xf>
    <xf numFmtId="168" fontId="0" fillId="0" borderId="0" xfId="0" applyNumberFormat="1" applyProtection="1">
      <protection locked="0"/>
    </xf>
    <xf numFmtId="0" fontId="31" fillId="0" borderId="0" xfId="0" applyFont="1" applyAlignment="1" applyProtection="1">
      <alignment vertical="center" wrapText="1"/>
    </xf>
    <xf numFmtId="0" fontId="0" fillId="0" borderId="0" xfId="0" applyAlignment="1">
      <alignment vertical="center" wrapText="1"/>
    </xf>
    <xf numFmtId="0" fontId="11" fillId="0" borderId="4" xfId="0" applyFont="1" applyBorder="1" applyAlignment="1" applyProtection="1">
      <alignment horizontal="center"/>
    </xf>
    <xf numFmtId="0" fontId="24" fillId="0" borderId="5" xfId="0" applyFont="1" applyBorder="1" applyAlignment="1" applyProtection="1">
      <alignment horizontal="center"/>
    </xf>
    <xf numFmtId="0" fontId="24" fillId="0" borderId="6" xfId="0" applyFont="1" applyBorder="1" applyAlignment="1" applyProtection="1">
      <alignment horizontal="center"/>
    </xf>
    <xf numFmtId="0" fontId="24" fillId="0" borderId="7" xfId="0" applyFont="1" applyBorder="1" applyAlignment="1" applyProtection="1">
      <alignment horizontal="center"/>
    </xf>
    <xf numFmtId="0" fontId="0" fillId="0" borderId="0" xfId="0" applyAlignment="1">
      <alignment horizontal="center"/>
    </xf>
    <xf numFmtId="0" fontId="0" fillId="2" borderId="35" xfId="0" applyFill="1" applyBorder="1" applyAlignment="1">
      <alignment vertical="center"/>
    </xf>
    <xf numFmtId="0" fontId="0" fillId="2" borderId="26" xfId="0" applyFill="1" applyBorder="1" applyAlignment="1">
      <alignment vertical="center"/>
    </xf>
    <xf numFmtId="0" fontId="20" fillId="2" borderId="1" xfId="0" applyFont="1" applyFill="1" applyBorder="1" applyAlignment="1" applyProtection="1">
      <alignment horizontal="left"/>
      <protection locked="0"/>
    </xf>
    <xf numFmtId="2" fontId="0" fillId="0" borderId="0" xfId="0" applyNumberFormat="1" applyProtection="1">
      <protection locked="0"/>
    </xf>
    <xf numFmtId="0" fontId="1" fillId="9" borderId="8" xfId="3" applyFont="1" applyFill="1" applyBorder="1" applyAlignment="1" applyProtection="1">
      <alignment horizontal="center"/>
      <protection locked="0"/>
    </xf>
    <xf numFmtId="0" fontId="1" fillId="9" borderId="9" xfId="3" applyFont="1" applyFill="1" applyBorder="1" applyAlignment="1" applyProtection="1">
      <alignment horizontal="center"/>
      <protection locked="0"/>
    </xf>
    <xf numFmtId="0" fontId="1" fillId="9" borderId="10" xfId="3" applyFont="1" applyFill="1" applyBorder="1" applyAlignment="1" applyProtection="1">
      <alignment horizontal="center"/>
      <protection locked="0"/>
    </xf>
    <xf numFmtId="0" fontId="14" fillId="9" borderId="11" xfId="3" applyFont="1" applyFill="1" applyBorder="1" applyAlignment="1" applyProtection="1">
      <alignment horizontal="center"/>
      <protection locked="0"/>
    </xf>
    <xf numFmtId="0" fontId="14" fillId="9" borderId="12" xfId="3" applyFont="1" applyFill="1" applyBorder="1" applyAlignment="1" applyProtection="1">
      <alignment horizontal="center"/>
      <protection locked="0"/>
    </xf>
    <xf numFmtId="0" fontId="15" fillId="9" borderId="12" xfId="1" applyFill="1" applyBorder="1" applyAlignment="1" applyProtection="1">
      <alignment horizontal="center"/>
      <protection locked="0"/>
    </xf>
    <xf numFmtId="0" fontId="16" fillId="5" borderId="13" xfId="2" applyBorder="1" applyAlignment="1" applyProtection="1">
      <alignment horizontal="center" wrapText="1"/>
      <protection locked="0"/>
    </xf>
    <xf numFmtId="0" fontId="14" fillId="9" borderId="14" xfId="3" applyFont="1" applyFill="1" applyBorder="1" applyAlignment="1" applyProtection="1">
      <alignment horizontal="center"/>
      <protection locked="0"/>
    </xf>
    <xf numFmtId="0" fontId="14" fillId="9" borderId="15" xfId="3" applyFont="1" applyFill="1" applyBorder="1" applyAlignment="1" applyProtection="1">
      <alignment horizontal="center"/>
      <protection locked="0"/>
    </xf>
    <xf numFmtId="0" fontId="15" fillId="9" borderId="15" xfId="1" applyFill="1" applyBorder="1" applyProtection="1">
      <protection locked="0"/>
    </xf>
    <xf numFmtId="0" fontId="16" fillId="5" borderId="16" xfId="2" applyBorder="1" applyAlignment="1" applyProtection="1">
      <alignment horizontal="center" wrapText="1"/>
      <protection locked="0"/>
    </xf>
    <xf numFmtId="0" fontId="15" fillId="9" borderId="14" xfId="1" applyFill="1" applyBorder="1" applyAlignment="1" applyProtection="1">
      <alignment horizontal="center" textRotation="90"/>
      <protection locked="0"/>
    </xf>
    <xf numFmtId="0" fontId="0" fillId="0" borderId="15" xfId="0" applyBorder="1" applyProtection="1">
      <protection locked="0"/>
    </xf>
    <xf numFmtId="0" fontId="16" fillId="5" borderId="16" xfId="2" applyBorder="1" applyProtection="1">
      <protection locked="0"/>
    </xf>
    <xf numFmtId="0" fontId="15" fillId="9" borderId="17" xfId="1" applyFill="1" applyBorder="1" applyAlignment="1" applyProtection="1">
      <alignment horizontal="center" textRotation="90"/>
      <protection locked="0"/>
    </xf>
    <xf numFmtId="0" fontId="15" fillId="9" borderId="18" xfId="1" applyFill="1" applyBorder="1" applyProtection="1">
      <protection locked="0"/>
    </xf>
    <xf numFmtId="0" fontId="0" fillId="0" borderId="18" xfId="0" applyBorder="1" applyProtection="1">
      <protection locked="0"/>
    </xf>
    <xf numFmtId="0" fontId="16" fillId="5" borderId="19" xfId="2" applyBorder="1" applyProtection="1">
      <protection locked="0"/>
    </xf>
    <xf numFmtId="0" fontId="15" fillId="0" borderId="0" xfId="1" applyFill="1" applyBorder="1" applyAlignment="1" applyProtection="1">
      <alignment horizontal="center" textRotation="90"/>
      <protection locked="0"/>
    </xf>
    <xf numFmtId="0" fontId="15" fillId="0" borderId="0" xfId="1" applyFill="1" applyBorder="1" applyProtection="1">
      <protection locked="0"/>
    </xf>
    <xf numFmtId="0" fontId="0" fillId="0" borderId="20" xfId="0" applyBorder="1" applyProtection="1">
      <protection locked="0"/>
    </xf>
    <xf numFmtId="0" fontId="0" fillId="0" borderId="21" xfId="0" applyBorder="1" applyProtection="1">
      <protection locked="0"/>
    </xf>
    <xf numFmtId="0" fontId="16" fillId="5" borderId="22" xfId="2" applyBorder="1" applyProtection="1">
      <protection locked="0"/>
    </xf>
    <xf numFmtId="0" fontId="0" fillId="0" borderId="0" xfId="0" applyBorder="1" applyAlignment="1" applyProtection="1">
      <protection locked="0"/>
    </xf>
    <xf numFmtId="0" fontId="28" fillId="5" borderId="23" xfId="2" applyFont="1" applyBorder="1" applyAlignment="1" applyProtection="1">
      <alignment horizontal="center"/>
      <protection locked="0"/>
    </xf>
    <xf numFmtId="0" fontId="28" fillId="5" borderId="24" xfId="2" applyFont="1" applyBorder="1" applyAlignment="1" applyProtection="1">
      <alignment horizontal="center"/>
      <protection locked="0"/>
    </xf>
    <xf numFmtId="0" fontId="28" fillId="5" borderId="25" xfId="2" applyFont="1" applyBorder="1" applyProtection="1">
      <protection locked="0"/>
    </xf>
  </cellXfs>
  <cellStyles count="8">
    <cellStyle name="Calculation" xfId="2" builtinId="22"/>
    <cellStyle name="Hyperlink" xfId="4" builtinId="8"/>
    <cellStyle name="Hyperlink 2" xfId="6"/>
    <cellStyle name="Input" xfId="1" builtinId="20"/>
    <cellStyle name="Normal" xfId="0" builtinId="0"/>
    <cellStyle name="Note" xfId="3" builtinId="10"/>
    <cellStyle name="Output" xfId="5" builtinId="21"/>
    <cellStyle name="Percent" xfId="7" builtinId="5"/>
  </cellStyles>
  <dxfs count="56">
    <dxf>
      <fill>
        <patternFill>
          <bgColor theme="0" tint="-0.14996795556505021"/>
        </patternFill>
      </fill>
    </dxf>
    <dxf>
      <font>
        <color auto="1"/>
      </font>
      <fill>
        <patternFill>
          <bgColor theme="0" tint="-0.24994659260841701"/>
        </patternFill>
      </fill>
    </dxf>
    <dxf>
      <font>
        <color auto="1"/>
      </font>
      <fill>
        <patternFill>
          <bgColor theme="0" tint="-0.24994659260841701"/>
        </patternFill>
      </fill>
    </dxf>
    <dxf>
      <font>
        <color rgb="FFFF0000"/>
      </font>
      <numFmt numFmtId="30" formatCode="@"/>
    </dxf>
    <dxf>
      <font>
        <color rgb="FFFF0000"/>
      </font>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ont>
        <color auto="1"/>
      </font>
    </dxf>
    <dxf>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9" tint="-0.499984740745262"/>
      </font>
      <fill>
        <patternFill>
          <bgColor rgb="FFFFC000"/>
        </patternFill>
      </fill>
    </dxf>
    <dxf>
      <font>
        <color rgb="FF006100"/>
      </font>
      <fill>
        <patternFill>
          <bgColor rgb="FFC6EFCE"/>
        </patternFill>
      </fill>
    </dxf>
    <dxf>
      <font>
        <color rgb="FF006100"/>
      </font>
      <fill>
        <patternFill>
          <bgColor rgb="FFC6EFCE"/>
        </patternFill>
      </fill>
    </dxf>
    <dxf>
      <font>
        <color theme="1"/>
      </font>
    </dxf>
    <dxf>
      <font>
        <color auto="1"/>
      </font>
    </dxf>
    <dxf>
      <font>
        <color theme="0" tint="-0.34998626667073579"/>
      </font>
      <fill>
        <patternFill>
          <bgColor theme="0" tint="-0.14996795556505021"/>
        </patternFill>
      </fill>
    </dxf>
    <dxf>
      <font>
        <color theme="0" tint="-0.34998626667073579"/>
      </font>
      <fill>
        <patternFill>
          <bgColor theme="0" tint="-0.14996795556505021"/>
        </patternFill>
      </fill>
    </dxf>
    <dxf>
      <font>
        <color theme="0" tint="-0.34998626667073579"/>
      </font>
      <fill>
        <patternFill>
          <bgColor theme="0" tint="-0.14996795556505021"/>
        </patternFill>
      </fill>
    </dxf>
    <dxf>
      <font>
        <color theme="0" tint="-0.34998626667073579"/>
      </font>
      <fill>
        <patternFill>
          <bgColor theme="0" tint="-0.14996795556505021"/>
        </patternFill>
      </fill>
    </dxf>
    <dxf>
      <fill>
        <patternFill>
          <bgColor theme="0" tint="-0.34998626667073579"/>
        </patternFill>
      </fill>
    </dxf>
    <dxf>
      <fill>
        <patternFill>
          <bgColor theme="0" tint="-0.34998626667073579"/>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theme="9" tint="-0.24994659260841701"/>
      </font>
    </dxf>
    <dxf>
      <font>
        <color rgb="FF9C0006"/>
      </font>
      <fill>
        <patternFill>
          <bgColor rgb="FFFFC7CE"/>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colors>
    <mruColors>
      <color rgb="FFA27B00"/>
      <color rgb="FFFF00FF"/>
      <color rgb="FF951609"/>
      <color rgb="FFFFE28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7205328739059"/>
          <c:y val="6.0962181102776715E-2"/>
          <c:w val="0.82966820206443803"/>
          <c:h val="0.78252148862540571"/>
        </c:manualLayout>
      </c:layout>
      <c:scatterChart>
        <c:scatterStyle val="lineMarker"/>
        <c:varyColors val="0"/>
        <c:ser>
          <c:idx val="0"/>
          <c:order val="0"/>
          <c:tx>
            <c:strRef>
              <c:f>LDC2114_Config_tool!$F$69</c:f>
              <c:strCache>
                <c:ptCount val="1"/>
                <c:pt idx="0">
                  <c:v>LCDiv=0</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LDC2114_Config_tool!$F$70:$F$105</c:f>
              <c:numCache>
                <c:formatCode>General</c:formatCode>
                <c:ptCount val="36"/>
                <c:pt idx="0">
                  <c:v>30</c:v>
                </c:pt>
                <c:pt idx="1">
                  <c:v>30</c:v>
                </c:pt>
                <c:pt idx="2">
                  <c:v>16.384</c:v>
                </c:pt>
                <c:pt idx="3">
                  <c:v>8.1920000000000002</c:v>
                </c:pt>
                <c:pt idx="4">
                  <c:v>5.4613333333333332</c:v>
                </c:pt>
                <c:pt idx="5">
                  <c:v>4.0960000000000001</c:v>
                </c:pt>
                <c:pt idx="6">
                  <c:v>3.2767999999999997</c:v>
                </c:pt>
                <c:pt idx="7">
                  <c:v>2.7306666666666666</c:v>
                </c:pt>
                <c:pt idx="8">
                  <c:v>2.3405714285714283</c:v>
                </c:pt>
                <c:pt idx="9">
                  <c:v>1.95047619047619</c:v>
                </c:pt>
                <c:pt idx="10">
                  <c:v>1.6383999999999999</c:v>
                </c:pt>
                <c:pt idx="11">
                  <c:v>1.4894545454545454</c:v>
                </c:pt>
                <c:pt idx="12">
                  <c:v>1.3653333333333333</c:v>
                </c:pt>
                <c:pt idx="13">
                  <c:v>1.2603076923076924</c:v>
                </c:pt>
                <c:pt idx="14">
                  <c:v>1.1702857142857142</c:v>
                </c:pt>
                <c:pt idx="15">
                  <c:v>1.0922666666666667</c:v>
                </c:pt>
                <c:pt idx="16">
                  <c:v>1.024</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yVal>
          <c:smooth val="0"/>
        </c:ser>
        <c:ser>
          <c:idx val="1"/>
          <c:order val="1"/>
          <c:tx>
            <c:strRef>
              <c:f>LDC2114_Config_tool!$G$69</c:f>
              <c:strCache>
                <c:ptCount val="1"/>
                <c:pt idx="0">
                  <c:v>LCDiv=1</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LDC2114_Config_tool!$G$70:$G$105</c:f>
              <c:numCache>
                <c:formatCode>General</c:formatCode>
                <c:ptCount val="36"/>
                <c:pt idx="0">
                  <c:v>30</c:v>
                </c:pt>
                <c:pt idx="1">
                  <c:v>30</c:v>
                </c:pt>
                <c:pt idx="2">
                  <c:v>30</c:v>
                </c:pt>
                <c:pt idx="3">
                  <c:v>16.384</c:v>
                </c:pt>
                <c:pt idx="4">
                  <c:v>10.922666666666666</c:v>
                </c:pt>
                <c:pt idx="5">
                  <c:v>8.1920000000000002</c:v>
                </c:pt>
                <c:pt idx="6">
                  <c:v>6.5535999999999994</c:v>
                </c:pt>
                <c:pt idx="7">
                  <c:v>5.4613333333333332</c:v>
                </c:pt>
                <c:pt idx="8">
                  <c:v>4.6811428571428566</c:v>
                </c:pt>
                <c:pt idx="9">
                  <c:v>3.9009523809523801</c:v>
                </c:pt>
                <c:pt idx="10">
                  <c:v>3.2767999999999997</c:v>
                </c:pt>
                <c:pt idx="11">
                  <c:v>2.9789090909090907</c:v>
                </c:pt>
                <c:pt idx="12">
                  <c:v>2.7306666666666666</c:v>
                </c:pt>
                <c:pt idx="13">
                  <c:v>2.5206153846153847</c:v>
                </c:pt>
                <c:pt idx="14">
                  <c:v>2.3405714285714283</c:v>
                </c:pt>
                <c:pt idx="15">
                  <c:v>2.1845333333333334</c:v>
                </c:pt>
                <c:pt idx="16">
                  <c:v>2.048</c:v>
                </c:pt>
                <c:pt idx="17">
                  <c:v>1.8919168591224018</c:v>
                </c:pt>
                <c:pt idx="18">
                  <c:v>1.8204444444444445</c:v>
                </c:pt>
                <c:pt idx="19">
                  <c:v>1.7246315789473683</c:v>
                </c:pt>
                <c:pt idx="20">
                  <c:v>1.6383999999999999</c:v>
                </c:pt>
                <c:pt idx="21">
                  <c:v>1.5603809523809522</c:v>
                </c:pt>
                <c:pt idx="22">
                  <c:v>1.4894545454545454</c:v>
                </c:pt>
                <c:pt idx="23">
                  <c:v>1.4246956521739129</c:v>
                </c:pt>
                <c:pt idx="24">
                  <c:v>1.3653333333333333</c:v>
                </c:pt>
                <c:pt idx="25">
                  <c:v>1.3107199999999999</c:v>
                </c:pt>
                <c:pt idx="26">
                  <c:v>1.2603076923076924</c:v>
                </c:pt>
                <c:pt idx="27">
                  <c:v>1.2136296296296296</c:v>
                </c:pt>
                <c:pt idx="28">
                  <c:v>1.1702857142857142</c:v>
                </c:pt>
                <c:pt idx="29">
                  <c:v>1.1299310344827584</c:v>
                </c:pt>
                <c:pt idx="30">
                  <c:v>1.0922666666666667</c:v>
                </c:pt>
                <c:pt idx="31">
                  <c:v>1.0570322580645162</c:v>
                </c:pt>
                <c:pt idx="32">
                  <c:v>1.024</c:v>
                </c:pt>
                <c:pt idx="33">
                  <c:v>1</c:v>
                </c:pt>
                <c:pt idx="34">
                  <c:v>1</c:v>
                </c:pt>
                <c:pt idx="35">
                  <c:v>1</c:v>
                </c:pt>
              </c:numCache>
            </c:numRef>
          </c:yVal>
          <c:smooth val="0"/>
        </c:ser>
        <c:ser>
          <c:idx val="2"/>
          <c:order val="2"/>
          <c:tx>
            <c:strRef>
              <c:f>LDC2114_Config_tool!$H$69</c:f>
              <c:strCache>
                <c:ptCount val="1"/>
                <c:pt idx="0">
                  <c:v>LCDiv=2</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LDC2114_Config_tool!$H$70:$H$105</c:f>
              <c:numCache>
                <c:formatCode>General</c:formatCode>
                <c:ptCount val="36"/>
                <c:pt idx="0">
                  <c:v>30</c:v>
                </c:pt>
                <c:pt idx="1">
                  <c:v>30</c:v>
                </c:pt>
                <c:pt idx="2">
                  <c:v>30</c:v>
                </c:pt>
                <c:pt idx="3">
                  <c:v>30</c:v>
                </c:pt>
                <c:pt idx="4">
                  <c:v>21.845333333333333</c:v>
                </c:pt>
                <c:pt idx="5">
                  <c:v>16.384</c:v>
                </c:pt>
                <c:pt idx="6">
                  <c:v>13.107199999999999</c:v>
                </c:pt>
                <c:pt idx="7">
                  <c:v>10.922666666666666</c:v>
                </c:pt>
                <c:pt idx="8">
                  <c:v>9.3622857142857132</c:v>
                </c:pt>
                <c:pt idx="9">
                  <c:v>7.8019047619047601</c:v>
                </c:pt>
                <c:pt idx="10">
                  <c:v>6.5535999999999994</c:v>
                </c:pt>
                <c:pt idx="11">
                  <c:v>5.9578181818181815</c:v>
                </c:pt>
                <c:pt idx="12">
                  <c:v>5.4613333333333332</c:v>
                </c:pt>
                <c:pt idx="13">
                  <c:v>5.0412307692307694</c:v>
                </c:pt>
                <c:pt idx="14">
                  <c:v>4.6811428571428566</c:v>
                </c:pt>
                <c:pt idx="15">
                  <c:v>4.3690666666666669</c:v>
                </c:pt>
                <c:pt idx="16">
                  <c:v>4.0960000000000001</c:v>
                </c:pt>
                <c:pt idx="17">
                  <c:v>3.7838337182448036</c:v>
                </c:pt>
                <c:pt idx="18">
                  <c:v>3.6408888888888891</c:v>
                </c:pt>
                <c:pt idx="19">
                  <c:v>3.4492631578947366</c:v>
                </c:pt>
                <c:pt idx="20">
                  <c:v>3.2767999999999997</c:v>
                </c:pt>
                <c:pt idx="21">
                  <c:v>3.1207619047619044</c:v>
                </c:pt>
                <c:pt idx="22">
                  <c:v>2.9789090909090907</c:v>
                </c:pt>
                <c:pt idx="23">
                  <c:v>2.8493913043478258</c:v>
                </c:pt>
                <c:pt idx="24">
                  <c:v>2.7306666666666666</c:v>
                </c:pt>
                <c:pt idx="25">
                  <c:v>2.6214399999999998</c:v>
                </c:pt>
                <c:pt idx="26">
                  <c:v>2.5206153846153847</c:v>
                </c:pt>
                <c:pt idx="27">
                  <c:v>2.4272592592592592</c:v>
                </c:pt>
                <c:pt idx="28">
                  <c:v>2.3405714285714283</c:v>
                </c:pt>
                <c:pt idx="29">
                  <c:v>2.2598620689655169</c:v>
                </c:pt>
                <c:pt idx="30">
                  <c:v>2.1845333333333334</c:v>
                </c:pt>
                <c:pt idx="31">
                  <c:v>2.1140645161290323</c:v>
                </c:pt>
                <c:pt idx="32">
                  <c:v>2.048</c:v>
                </c:pt>
                <c:pt idx="33">
                  <c:v>1.9859393939393937</c:v>
                </c:pt>
                <c:pt idx="34">
                  <c:v>1.9275294117647057</c:v>
                </c:pt>
                <c:pt idx="35">
                  <c:v>1.8204444444444445</c:v>
                </c:pt>
              </c:numCache>
            </c:numRef>
          </c:yVal>
          <c:smooth val="0"/>
        </c:ser>
        <c:ser>
          <c:idx val="3"/>
          <c:order val="3"/>
          <c:tx>
            <c:strRef>
              <c:f>LDC2114_Config_tool!$I$69</c:f>
              <c:strCache>
                <c:ptCount val="1"/>
                <c:pt idx="0">
                  <c:v>LCDiv=3</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LDC2114_Config_tool!$I$70:$I$105</c:f>
              <c:numCache>
                <c:formatCode>General</c:formatCode>
                <c:ptCount val="36"/>
                <c:pt idx="0">
                  <c:v>30</c:v>
                </c:pt>
                <c:pt idx="1">
                  <c:v>30</c:v>
                </c:pt>
                <c:pt idx="2">
                  <c:v>30</c:v>
                </c:pt>
                <c:pt idx="3">
                  <c:v>30</c:v>
                </c:pt>
                <c:pt idx="4">
                  <c:v>30</c:v>
                </c:pt>
                <c:pt idx="5">
                  <c:v>30</c:v>
                </c:pt>
                <c:pt idx="6">
                  <c:v>26.214399999999998</c:v>
                </c:pt>
                <c:pt idx="7">
                  <c:v>21.845333333333333</c:v>
                </c:pt>
                <c:pt idx="8">
                  <c:v>18.724571428571426</c:v>
                </c:pt>
                <c:pt idx="9">
                  <c:v>15.60380952380952</c:v>
                </c:pt>
                <c:pt idx="10">
                  <c:v>13.107199999999999</c:v>
                </c:pt>
                <c:pt idx="11">
                  <c:v>11.915636363636363</c:v>
                </c:pt>
                <c:pt idx="12">
                  <c:v>10.922666666666666</c:v>
                </c:pt>
                <c:pt idx="13">
                  <c:v>10.082461538461539</c:v>
                </c:pt>
                <c:pt idx="14">
                  <c:v>9.3622857142857132</c:v>
                </c:pt>
                <c:pt idx="15">
                  <c:v>8.7381333333333338</c:v>
                </c:pt>
                <c:pt idx="16">
                  <c:v>8.1920000000000002</c:v>
                </c:pt>
                <c:pt idx="17">
                  <c:v>7.5676674364896073</c:v>
                </c:pt>
                <c:pt idx="18">
                  <c:v>7.2817777777777781</c:v>
                </c:pt>
                <c:pt idx="19">
                  <c:v>6.8985263157894732</c:v>
                </c:pt>
                <c:pt idx="20">
                  <c:v>6.5535999999999994</c:v>
                </c:pt>
                <c:pt idx="21">
                  <c:v>6.2415238095238088</c:v>
                </c:pt>
                <c:pt idx="22">
                  <c:v>5.9578181818181815</c:v>
                </c:pt>
                <c:pt idx="23">
                  <c:v>5.6987826086956517</c:v>
                </c:pt>
                <c:pt idx="24">
                  <c:v>5.4613333333333332</c:v>
                </c:pt>
                <c:pt idx="25">
                  <c:v>5.2428799999999995</c:v>
                </c:pt>
                <c:pt idx="26">
                  <c:v>5.0412307692307694</c:v>
                </c:pt>
                <c:pt idx="27">
                  <c:v>4.8545185185185185</c:v>
                </c:pt>
                <c:pt idx="28">
                  <c:v>4.6811428571428566</c:v>
                </c:pt>
                <c:pt idx="29">
                  <c:v>4.5197241379310338</c:v>
                </c:pt>
                <c:pt idx="30">
                  <c:v>4.3690666666666669</c:v>
                </c:pt>
                <c:pt idx="31">
                  <c:v>4.2281290322580647</c:v>
                </c:pt>
                <c:pt idx="32">
                  <c:v>4.0960000000000001</c:v>
                </c:pt>
                <c:pt idx="33">
                  <c:v>3.9718787878787873</c:v>
                </c:pt>
                <c:pt idx="34">
                  <c:v>3.8550588235294114</c:v>
                </c:pt>
                <c:pt idx="35">
                  <c:v>3.6408888888888891</c:v>
                </c:pt>
              </c:numCache>
            </c:numRef>
          </c:yVal>
          <c:smooth val="0"/>
        </c:ser>
        <c:ser>
          <c:idx val="4"/>
          <c:order val="4"/>
          <c:tx>
            <c:strRef>
              <c:f>LDC2114_Config_tool!$J$69</c:f>
              <c:strCache>
                <c:ptCount val="1"/>
                <c:pt idx="0">
                  <c:v>LCDiv=4</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LDC2114_Config_tool!$J$70:$J$105</c:f>
              <c:numCache>
                <c:formatCode>General</c:formatCode>
                <c:ptCount val="36"/>
                <c:pt idx="0">
                  <c:v>30</c:v>
                </c:pt>
                <c:pt idx="1">
                  <c:v>30</c:v>
                </c:pt>
                <c:pt idx="2">
                  <c:v>30</c:v>
                </c:pt>
                <c:pt idx="3">
                  <c:v>30</c:v>
                </c:pt>
                <c:pt idx="4">
                  <c:v>30</c:v>
                </c:pt>
                <c:pt idx="5">
                  <c:v>30</c:v>
                </c:pt>
                <c:pt idx="6">
                  <c:v>30</c:v>
                </c:pt>
                <c:pt idx="7">
                  <c:v>30</c:v>
                </c:pt>
                <c:pt idx="8">
                  <c:v>30</c:v>
                </c:pt>
                <c:pt idx="9">
                  <c:v>30</c:v>
                </c:pt>
                <c:pt idx="10">
                  <c:v>26.214399999999998</c:v>
                </c:pt>
                <c:pt idx="11">
                  <c:v>23.831272727272726</c:v>
                </c:pt>
                <c:pt idx="12">
                  <c:v>21.845333333333333</c:v>
                </c:pt>
                <c:pt idx="13">
                  <c:v>20.164923076923078</c:v>
                </c:pt>
                <c:pt idx="14">
                  <c:v>18.724571428571426</c:v>
                </c:pt>
                <c:pt idx="15">
                  <c:v>17.476266666666668</c:v>
                </c:pt>
                <c:pt idx="16">
                  <c:v>16.384</c:v>
                </c:pt>
                <c:pt idx="17">
                  <c:v>15.135334872979215</c:v>
                </c:pt>
                <c:pt idx="18">
                  <c:v>14.563555555555556</c:v>
                </c:pt>
                <c:pt idx="19">
                  <c:v>13.797052631578946</c:v>
                </c:pt>
                <c:pt idx="20">
                  <c:v>13.107199999999999</c:v>
                </c:pt>
                <c:pt idx="21">
                  <c:v>12.483047619047618</c:v>
                </c:pt>
                <c:pt idx="22">
                  <c:v>11.915636363636363</c:v>
                </c:pt>
                <c:pt idx="23">
                  <c:v>11.397565217391303</c:v>
                </c:pt>
                <c:pt idx="24">
                  <c:v>10.922666666666666</c:v>
                </c:pt>
                <c:pt idx="25">
                  <c:v>10.485759999999999</c:v>
                </c:pt>
                <c:pt idx="26">
                  <c:v>10.082461538461539</c:v>
                </c:pt>
                <c:pt idx="27">
                  <c:v>9.7090370370370369</c:v>
                </c:pt>
                <c:pt idx="28">
                  <c:v>9.3622857142857132</c:v>
                </c:pt>
                <c:pt idx="29">
                  <c:v>9.0394482758620676</c:v>
                </c:pt>
                <c:pt idx="30">
                  <c:v>8.7381333333333338</c:v>
                </c:pt>
                <c:pt idx="31">
                  <c:v>8.4562580645161294</c:v>
                </c:pt>
                <c:pt idx="32">
                  <c:v>8.1920000000000002</c:v>
                </c:pt>
                <c:pt idx="33">
                  <c:v>7.9437575757575747</c:v>
                </c:pt>
                <c:pt idx="34">
                  <c:v>7.7101176470588229</c:v>
                </c:pt>
                <c:pt idx="35">
                  <c:v>7.2817777777777781</c:v>
                </c:pt>
              </c:numCache>
            </c:numRef>
          </c:yVal>
          <c:smooth val="0"/>
        </c:ser>
        <c:ser>
          <c:idx val="5"/>
          <c:order val="5"/>
          <c:tx>
            <c:strRef>
              <c:f>LDC2114_Config_tool!$K$69</c:f>
              <c:strCache>
                <c:ptCount val="1"/>
                <c:pt idx="0">
                  <c:v>LCDiv=5</c:v>
                </c:pt>
              </c:strCache>
            </c:strRef>
          </c:tx>
          <c:spPr>
            <a:ln>
              <a:solidFill>
                <a:srgbClr val="FF0000"/>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LDC2114_Config_tool!$K$70:$K$105</c:f>
              <c:numCache>
                <c:formatCode>General</c:formatCode>
                <c:ptCount val="36"/>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29.127111111111113</c:v>
                </c:pt>
                <c:pt idx="19">
                  <c:v>27.594105263157893</c:v>
                </c:pt>
                <c:pt idx="20">
                  <c:v>26.214399999999998</c:v>
                </c:pt>
                <c:pt idx="21">
                  <c:v>24.966095238095235</c:v>
                </c:pt>
                <c:pt idx="22">
                  <c:v>23.831272727272726</c:v>
                </c:pt>
                <c:pt idx="23">
                  <c:v>22.795130434782607</c:v>
                </c:pt>
                <c:pt idx="24">
                  <c:v>21.845333333333333</c:v>
                </c:pt>
                <c:pt idx="25">
                  <c:v>20.971519999999998</c:v>
                </c:pt>
                <c:pt idx="26">
                  <c:v>20.164923076923078</c:v>
                </c:pt>
                <c:pt idx="27">
                  <c:v>19.418074074074074</c:v>
                </c:pt>
                <c:pt idx="28">
                  <c:v>18.724571428571426</c:v>
                </c:pt>
                <c:pt idx="29">
                  <c:v>18.078896551724135</c:v>
                </c:pt>
                <c:pt idx="30">
                  <c:v>17.476266666666668</c:v>
                </c:pt>
                <c:pt idx="31">
                  <c:v>16.912516129032259</c:v>
                </c:pt>
                <c:pt idx="32">
                  <c:v>16.384</c:v>
                </c:pt>
                <c:pt idx="33">
                  <c:v>15.887515151515149</c:v>
                </c:pt>
                <c:pt idx="34">
                  <c:v>15.420235294117646</c:v>
                </c:pt>
                <c:pt idx="35">
                  <c:v>14.563555555555556</c:v>
                </c:pt>
              </c:numCache>
            </c:numRef>
          </c:yVal>
          <c:smooth val="0"/>
        </c:ser>
        <c:ser>
          <c:idx val="6"/>
          <c:order val="6"/>
          <c:tx>
            <c:strRef>
              <c:f>LDC2114_Config_tool!$L$69</c:f>
              <c:strCache>
                <c:ptCount val="1"/>
                <c:pt idx="0">
                  <c:v>LCDiv=6</c:v>
                </c:pt>
              </c:strCache>
            </c:strRef>
          </c:tx>
          <c:marker>
            <c:symbol val="none"/>
          </c:marker>
          <c:dPt>
            <c:idx val="35"/>
            <c:bubble3D val="0"/>
            <c:spPr>
              <a:ln>
                <a:solidFill>
                  <a:srgbClr val="FF0000"/>
                </a:solidFill>
              </a:ln>
            </c:spPr>
          </c:dPt>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LDC2114_Config_tool!$L$70:$L$105</c:f>
              <c:numCache>
                <c:formatCode>General</c:formatCode>
                <c:ptCount val="36"/>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30</c:v>
                </c:pt>
                <c:pt idx="24">
                  <c:v>30</c:v>
                </c:pt>
                <c:pt idx="25">
                  <c:v>30</c:v>
                </c:pt>
                <c:pt idx="26">
                  <c:v>30</c:v>
                </c:pt>
                <c:pt idx="27">
                  <c:v>30</c:v>
                </c:pt>
                <c:pt idx="28">
                  <c:v>30</c:v>
                </c:pt>
                <c:pt idx="29">
                  <c:v>30</c:v>
                </c:pt>
                <c:pt idx="30">
                  <c:v>30</c:v>
                </c:pt>
                <c:pt idx="31">
                  <c:v>30</c:v>
                </c:pt>
                <c:pt idx="32">
                  <c:v>30</c:v>
                </c:pt>
                <c:pt idx="33">
                  <c:v>30</c:v>
                </c:pt>
                <c:pt idx="34">
                  <c:v>30</c:v>
                </c:pt>
                <c:pt idx="35">
                  <c:v>29.127111111111113</c:v>
                </c:pt>
              </c:numCache>
            </c:numRef>
          </c:yVal>
          <c:smooth val="0"/>
        </c:ser>
        <c:ser>
          <c:idx val="7"/>
          <c:order val="7"/>
          <c:tx>
            <c:strRef>
              <c:f>LDC2114_Config_tool!$B$69</c:f>
              <c:strCache>
                <c:ptCount val="1"/>
                <c:pt idx="0">
                  <c:v>Min Fsensor (MHz)</c:v>
                </c:pt>
              </c:strCache>
            </c:strRef>
          </c:tx>
          <c:spPr>
            <a:ln>
              <a:solidFill>
                <a:schemeClr val="tx1"/>
              </a:solidFill>
            </a:ln>
          </c:spPr>
          <c:marker>
            <c:symbol val="none"/>
          </c:marker>
          <c:xVal>
            <c:numRef>
              <c:f>LDC2114_Config_tool!$E$70:$E$105</c:f>
              <c:numCache>
                <c:formatCode>General</c:formatCode>
                <c:ptCount val="36"/>
                <c:pt idx="0">
                  <c:v>0.01</c:v>
                </c:pt>
                <c:pt idx="1">
                  <c:v>0.1</c:v>
                </c:pt>
                <c:pt idx="2">
                  <c:v>0.25</c:v>
                </c:pt>
                <c:pt idx="3">
                  <c:v>0.5</c:v>
                </c:pt>
                <c:pt idx="4">
                  <c:v>0.75</c:v>
                </c:pt>
                <c:pt idx="5">
                  <c:v>1</c:v>
                </c:pt>
                <c:pt idx="6">
                  <c:v>1.25</c:v>
                </c:pt>
                <c:pt idx="7">
                  <c:v>1.5</c:v>
                </c:pt>
                <c:pt idx="8">
                  <c:v>1.75</c:v>
                </c:pt>
                <c:pt idx="9">
                  <c:v>2.1</c:v>
                </c:pt>
                <c:pt idx="10">
                  <c:v>2.5</c:v>
                </c:pt>
                <c:pt idx="11">
                  <c:v>2.75</c:v>
                </c:pt>
                <c:pt idx="12">
                  <c:v>3</c:v>
                </c:pt>
                <c:pt idx="13">
                  <c:v>3.25</c:v>
                </c:pt>
                <c:pt idx="14">
                  <c:v>3.5</c:v>
                </c:pt>
                <c:pt idx="15">
                  <c:v>3.75</c:v>
                </c:pt>
                <c:pt idx="16">
                  <c:v>4</c:v>
                </c:pt>
                <c:pt idx="17">
                  <c:v>4.33</c:v>
                </c:pt>
                <c:pt idx="18">
                  <c:v>4.5</c:v>
                </c:pt>
                <c:pt idx="19">
                  <c:v>4.75</c:v>
                </c:pt>
                <c:pt idx="20">
                  <c:v>5</c:v>
                </c:pt>
                <c:pt idx="21">
                  <c:v>5.25</c:v>
                </c:pt>
                <c:pt idx="22">
                  <c:v>5.5</c:v>
                </c:pt>
                <c:pt idx="23">
                  <c:v>5.75</c:v>
                </c:pt>
                <c:pt idx="24">
                  <c:v>6</c:v>
                </c:pt>
                <c:pt idx="25">
                  <c:v>6.25</c:v>
                </c:pt>
                <c:pt idx="26">
                  <c:v>6.5</c:v>
                </c:pt>
                <c:pt idx="27">
                  <c:v>6.75</c:v>
                </c:pt>
                <c:pt idx="28">
                  <c:v>7</c:v>
                </c:pt>
                <c:pt idx="29">
                  <c:v>7.25</c:v>
                </c:pt>
                <c:pt idx="30">
                  <c:v>7.5</c:v>
                </c:pt>
                <c:pt idx="31">
                  <c:v>7.75</c:v>
                </c:pt>
                <c:pt idx="32">
                  <c:v>8</c:v>
                </c:pt>
                <c:pt idx="33">
                  <c:v>8.25</c:v>
                </c:pt>
                <c:pt idx="34">
                  <c:v>8.5</c:v>
                </c:pt>
                <c:pt idx="35">
                  <c:v>9</c:v>
                </c:pt>
              </c:numCache>
            </c:numRef>
          </c:xVal>
          <c:yVal>
            <c:numRef>
              <c:f>LDC2114_Config_tool!$B$70:$B$105</c:f>
              <c:numCache>
                <c:formatCode>General</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yVal>
          <c:smooth val="0"/>
        </c:ser>
        <c:ser>
          <c:idx val="8"/>
          <c:order val="8"/>
          <c:tx>
            <c:strRef>
              <c:f>LDC2114_Config_tool!$N$69</c:f>
              <c:strCache>
                <c:ptCount val="1"/>
                <c:pt idx="0">
                  <c:v>Sensor0</c:v>
                </c:pt>
              </c:strCache>
            </c:strRef>
          </c:tx>
          <c:spPr>
            <a:ln>
              <a:solidFill>
                <a:srgbClr val="00B050"/>
              </a:solidFill>
            </a:ln>
          </c:spPr>
          <c:marker>
            <c:symbol val="diamond"/>
            <c:size val="6"/>
            <c:spPr>
              <a:solidFill>
                <a:srgbClr val="00B050"/>
              </a:solidFill>
              <a:ln>
                <a:solidFill>
                  <a:srgbClr val="00B050"/>
                </a:solidFill>
              </a:ln>
            </c:spPr>
          </c:marker>
          <c:dLbls>
            <c:spPr>
              <a:noFill/>
              <a:ln>
                <a:noFill/>
              </a:ln>
              <a:effectLst/>
            </c:spPr>
            <c:txPr>
              <a:bodyPr wrap="square" lIns="38100" tIns="19050" rIns="38100" bIns="19050" anchor="ctr">
                <a:spAutoFit/>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LDC2114_Config_tool!$N$70:$N$71</c:f>
              <c:numCache>
                <c:formatCode>General</c:formatCode>
                <c:ptCount val="2"/>
                <c:pt idx="0" formatCode="0.000">
                  <c:v>1.003438596491228</c:v>
                </c:pt>
                <c:pt idx="1">
                  <c:v>1.0044420350877192</c:v>
                </c:pt>
              </c:numCache>
            </c:numRef>
          </c:xVal>
          <c:yVal>
            <c:numRef>
              <c:f>LDC2114_Config_tool!$O$70:$O$71</c:f>
              <c:numCache>
                <c:formatCode>0.00</c:formatCode>
                <c:ptCount val="2"/>
                <c:pt idx="0">
                  <c:v>18</c:v>
                </c:pt>
                <c:pt idx="1">
                  <c:v>17.998200000000001</c:v>
                </c:pt>
              </c:numCache>
            </c:numRef>
          </c:yVal>
          <c:smooth val="0"/>
        </c:ser>
        <c:ser>
          <c:idx val="9"/>
          <c:order val="9"/>
          <c:tx>
            <c:strRef>
              <c:f>LDC2114_Config_tool!$P$69</c:f>
              <c:strCache>
                <c:ptCount val="1"/>
                <c:pt idx="0">
                  <c:v>Sensor1</c:v>
                </c:pt>
              </c:strCache>
            </c:strRef>
          </c:tx>
          <c:marker>
            <c:symbol val="none"/>
          </c:marker>
          <c:dPt>
            <c:idx val="0"/>
            <c:marker>
              <c:symbol val="diamond"/>
              <c:size val="6"/>
              <c:spPr>
                <a:solidFill>
                  <a:srgbClr val="00B050"/>
                </a:solidFill>
                <a:ln>
                  <a:solidFill>
                    <a:srgbClr val="00B050"/>
                  </a:solidFill>
                </a:ln>
              </c:spPr>
            </c:marker>
            <c:bubble3D val="0"/>
          </c:dPt>
          <c:dLbls>
            <c:spPr>
              <a:noFill/>
              <a:ln>
                <a:noFill/>
              </a:ln>
              <a:effectLst/>
            </c:spPr>
            <c:txPr>
              <a:bodyPr wrap="square" lIns="38100" tIns="19050" rIns="38100" bIns="19050" anchor="ctr">
                <a:spAutoFit/>
              </a:bodyPr>
              <a:lstStyle/>
              <a:p>
                <a:pPr>
                  <a:defRPr b="0"/>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LDC2114_Config_tool!$P$70:$P$71</c:f>
              <c:numCache>
                <c:formatCode>General</c:formatCode>
                <c:ptCount val="2"/>
                <c:pt idx="0" formatCode="0.000">
                  <c:v>1.0555789473684212</c:v>
                </c:pt>
                <c:pt idx="1">
                  <c:v>1.0566345263157895</c:v>
                </c:pt>
              </c:numCache>
            </c:numRef>
          </c:xVal>
          <c:yVal>
            <c:numRef>
              <c:f>LDC2114_Config_tool!$Q$70:$Q$71</c:f>
              <c:numCache>
                <c:formatCode>General</c:formatCode>
                <c:ptCount val="2"/>
                <c:pt idx="0" formatCode="0.00">
                  <c:v>19</c:v>
                </c:pt>
                <c:pt idx="1">
                  <c:v>19</c:v>
                </c:pt>
              </c:numCache>
            </c:numRef>
          </c:yVal>
          <c:smooth val="0"/>
        </c:ser>
        <c:ser>
          <c:idx val="10"/>
          <c:order val="10"/>
          <c:tx>
            <c:strRef>
              <c:f>LDC2114_Config_tool!$R$69</c:f>
              <c:strCache>
                <c:ptCount val="1"/>
                <c:pt idx="0">
                  <c:v>Sensor2</c:v>
                </c:pt>
              </c:strCache>
            </c:strRef>
          </c:tx>
          <c:marker>
            <c:symbol val="diamond"/>
            <c:size val="6"/>
            <c:spPr>
              <a:solidFill>
                <a:srgbClr val="00B050">
                  <a:alpha val="77000"/>
                </a:srgbClr>
              </a:solidFill>
            </c:spPr>
          </c:marker>
          <c:dLbls>
            <c:spPr>
              <a:noFill/>
              <a:ln>
                <a:noFill/>
              </a:ln>
              <a:effectLst/>
            </c:spPr>
            <c:txPr>
              <a:bodyPr wrap="square" lIns="38100" tIns="19050" rIns="38100" bIns="19050" anchor="ctr">
                <a:spAutoFit/>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LDC2114_Config_tool!$R$70:$R$71</c:f>
              <c:numCache>
                <c:formatCode>General</c:formatCode>
                <c:ptCount val="2"/>
                <c:pt idx="0" formatCode="0.000">
                  <c:v>1.054</c:v>
                </c:pt>
                <c:pt idx="1">
                  <c:v>1.0550539999999999</c:v>
                </c:pt>
              </c:numCache>
            </c:numRef>
          </c:xVal>
          <c:yVal>
            <c:numRef>
              <c:f>LDC2114_Config_tool!$S$70:$S$71</c:f>
              <c:numCache>
                <c:formatCode>General</c:formatCode>
                <c:ptCount val="2"/>
                <c:pt idx="0" formatCode="0.00">
                  <c:v>20</c:v>
                </c:pt>
                <c:pt idx="1">
                  <c:v>20.019999999999996</c:v>
                </c:pt>
              </c:numCache>
            </c:numRef>
          </c:yVal>
          <c:smooth val="0"/>
        </c:ser>
        <c:ser>
          <c:idx val="11"/>
          <c:order val="11"/>
          <c:tx>
            <c:strRef>
              <c:f>LDC2114_Config_tool!$T$69</c:f>
              <c:strCache>
                <c:ptCount val="1"/>
                <c:pt idx="0">
                  <c:v>Sensor3</c:v>
                </c:pt>
              </c:strCache>
            </c:strRef>
          </c:tx>
          <c:marker>
            <c:symbol val="diamond"/>
            <c:size val="6"/>
            <c:spPr>
              <a:solidFill>
                <a:srgbClr val="00B050"/>
              </a:solidFill>
              <a:ln>
                <a:solidFill>
                  <a:srgbClr val="00B050"/>
                </a:solidFill>
              </a:ln>
            </c:spPr>
          </c:marker>
          <c:dLbls>
            <c:spPr>
              <a:noFill/>
              <a:ln>
                <a:noFill/>
              </a:ln>
              <a:effectLst/>
            </c:spPr>
            <c:txPr>
              <a:bodyPr wrap="square" lIns="38100" tIns="19050" rIns="38100" bIns="19050" anchor="ctr">
                <a:spAutoFit/>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LDC2114_Config_tool!$T$70:$T$71</c:f>
              <c:numCache>
                <c:formatCode>General</c:formatCode>
                <c:ptCount val="2"/>
                <c:pt idx="0" formatCode="0.000">
                  <c:v>1</c:v>
                </c:pt>
                <c:pt idx="1">
                  <c:v>1.0009999999999999</c:v>
                </c:pt>
              </c:numCache>
            </c:numRef>
          </c:xVal>
          <c:yVal>
            <c:numRef>
              <c:f>LDC2114_Config_tool!$U$70:$U$71</c:f>
              <c:numCache>
                <c:formatCode>General</c:formatCode>
                <c:ptCount val="2"/>
                <c:pt idx="0" formatCode="0.00">
                  <c:v>21</c:v>
                </c:pt>
                <c:pt idx="1">
                  <c:v>21.020999999999997</c:v>
                </c:pt>
              </c:numCache>
            </c:numRef>
          </c:yVal>
          <c:smooth val="0"/>
        </c:ser>
        <c:dLbls>
          <c:showLegendKey val="0"/>
          <c:showVal val="0"/>
          <c:showCatName val="0"/>
          <c:showSerName val="0"/>
          <c:showPercent val="0"/>
          <c:showBubbleSize val="0"/>
        </c:dLbls>
        <c:axId val="163478104"/>
        <c:axId val="163478496"/>
      </c:scatterChart>
      <c:valAx>
        <c:axId val="163478104"/>
        <c:scaling>
          <c:orientation val="minMax"/>
          <c:max val="9"/>
          <c:min val="0"/>
        </c:scaling>
        <c:delete val="0"/>
        <c:axPos val="b"/>
        <c:majorGridlines>
          <c:spPr>
            <a:ln>
              <a:solidFill>
                <a:schemeClr val="bg1">
                  <a:lumMod val="85000"/>
                </a:schemeClr>
              </a:solidFill>
            </a:ln>
          </c:spPr>
        </c:majorGridlines>
        <c:minorGridlines>
          <c:spPr>
            <a:ln>
              <a:solidFill>
                <a:schemeClr val="bg1">
                  <a:lumMod val="95000"/>
                </a:schemeClr>
              </a:solidFill>
            </a:ln>
          </c:spPr>
        </c:minorGridlines>
        <c:title>
          <c:tx>
            <c:rich>
              <a:bodyPr/>
              <a:lstStyle/>
              <a:p>
                <a:pPr>
                  <a:defRPr/>
                </a:pPr>
                <a:r>
                  <a:rPr lang="en-US"/>
                  <a:t>Sample Interval (ms)</a:t>
                </a:r>
              </a:p>
            </c:rich>
          </c:tx>
          <c:layout/>
          <c:overlay val="0"/>
        </c:title>
        <c:numFmt formatCode="#,##0.0" sourceLinked="0"/>
        <c:majorTickMark val="out"/>
        <c:minorTickMark val="none"/>
        <c:tickLblPos val="nextTo"/>
        <c:crossAx val="163478496"/>
        <c:crosses val="autoZero"/>
        <c:crossBetween val="midCat"/>
        <c:majorUnit val="1"/>
        <c:minorUnit val="0.25"/>
      </c:valAx>
      <c:valAx>
        <c:axId val="163478496"/>
        <c:scaling>
          <c:orientation val="minMax"/>
          <c:max val="30"/>
          <c:min val="1.0000000000000003E-4"/>
        </c:scaling>
        <c:delete val="0"/>
        <c:axPos val="l"/>
        <c:majorGridlines>
          <c:spPr>
            <a:ln>
              <a:solidFill>
                <a:schemeClr val="bg1">
                  <a:lumMod val="85000"/>
                </a:schemeClr>
              </a:solidFill>
            </a:ln>
          </c:spPr>
        </c:majorGridlines>
        <c:minorGridlines>
          <c:spPr>
            <a:ln>
              <a:solidFill>
                <a:schemeClr val="bg1">
                  <a:lumMod val="95000"/>
                </a:schemeClr>
              </a:solidFill>
            </a:ln>
          </c:spPr>
        </c:minorGridlines>
        <c:title>
          <c:tx>
            <c:rich>
              <a:bodyPr rot="-5400000" vert="horz"/>
              <a:lstStyle/>
              <a:p>
                <a:pPr>
                  <a:defRPr/>
                </a:pPr>
                <a:r>
                  <a:rPr lang="en-US"/>
                  <a:t>Maximum fSENSOR (MHz)</a:t>
                </a:r>
              </a:p>
            </c:rich>
          </c:tx>
          <c:layout/>
          <c:overlay val="0"/>
        </c:title>
        <c:numFmt formatCode="#,##0.0" sourceLinked="0"/>
        <c:majorTickMark val="out"/>
        <c:minorTickMark val="none"/>
        <c:tickLblPos val="nextTo"/>
        <c:crossAx val="163478104"/>
        <c:crosses val="autoZero"/>
        <c:crossBetween val="midCat"/>
        <c:majorUnit val="5"/>
      </c:valAx>
    </c:plotArea>
    <c:plotVisOnly val="0"/>
    <c:dispBlanksAs val="gap"/>
    <c:showDLblsOverMax val="0"/>
  </c:chart>
  <c:txPr>
    <a:bodyPr/>
    <a:lstStyle/>
    <a:p>
      <a:pPr>
        <a:defRPr sz="900"/>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76454355054208"/>
          <c:y val="7.3879799222360293E-2"/>
          <c:w val="0.76210122472333319"/>
          <c:h val="0.74240517006449613"/>
        </c:manualLayout>
      </c:layout>
      <c:scatterChart>
        <c:scatterStyle val="smoothMarker"/>
        <c:varyColors val="0"/>
        <c:ser>
          <c:idx val="3"/>
          <c:order val="0"/>
          <c:tx>
            <c:v>Min L drive</c:v>
          </c:tx>
          <c:spPr>
            <a:ln w="38100">
              <a:solidFill>
                <a:srgbClr val="951609"/>
              </a:solidFill>
              <a:prstDash val="solid"/>
            </a:ln>
          </c:spPr>
          <c:marker>
            <c:symbol val="none"/>
          </c:marker>
          <c:errBars>
            <c:errDir val="y"/>
            <c:errBarType val="minus"/>
            <c:errValType val="percentage"/>
            <c:noEndCap val="0"/>
            <c:val val="1000"/>
            <c:spPr>
              <a:ln w="50800">
                <a:solidFill>
                  <a:srgbClr val="951609"/>
                </a:solidFill>
              </a:ln>
            </c:spPr>
          </c:errBars>
          <c:xVal>
            <c:numRef>
              <c:f>LDC0851_calc!$B$103:$B$181</c:f>
              <c:numCache>
                <c:formatCode>0.00E+00</c:formatCode>
                <c:ptCount val="79"/>
                <c:pt idx="0">
                  <c:v>250000</c:v>
                </c:pt>
                <c:pt idx="1">
                  <c:v>500000</c:v>
                </c:pt>
                <c:pt idx="2">
                  <c:v>750000</c:v>
                </c:pt>
                <c:pt idx="3">
                  <c:v>1000000</c:v>
                </c:pt>
                <c:pt idx="4">
                  <c:v>1250000</c:v>
                </c:pt>
                <c:pt idx="5">
                  <c:v>1500000</c:v>
                </c:pt>
                <c:pt idx="6">
                  <c:v>1750000</c:v>
                </c:pt>
                <c:pt idx="7">
                  <c:v>2000000</c:v>
                </c:pt>
                <c:pt idx="8">
                  <c:v>2250000</c:v>
                </c:pt>
                <c:pt idx="9">
                  <c:v>2500000</c:v>
                </c:pt>
                <c:pt idx="10">
                  <c:v>2750000</c:v>
                </c:pt>
                <c:pt idx="11">
                  <c:v>3000000</c:v>
                </c:pt>
                <c:pt idx="12">
                  <c:v>3250000</c:v>
                </c:pt>
                <c:pt idx="13">
                  <c:v>3500000</c:v>
                </c:pt>
                <c:pt idx="14">
                  <c:v>3750000</c:v>
                </c:pt>
                <c:pt idx="15">
                  <c:v>4000000</c:v>
                </c:pt>
                <c:pt idx="16">
                  <c:v>4250000</c:v>
                </c:pt>
                <c:pt idx="17">
                  <c:v>4500000</c:v>
                </c:pt>
                <c:pt idx="18">
                  <c:v>4750000</c:v>
                </c:pt>
                <c:pt idx="19">
                  <c:v>5000000</c:v>
                </c:pt>
                <c:pt idx="20">
                  <c:v>5250000</c:v>
                </c:pt>
                <c:pt idx="21">
                  <c:v>5500000</c:v>
                </c:pt>
                <c:pt idx="22">
                  <c:v>5750000</c:v>
                </c:pt>
                <c:pt idx="23">
                  <c:v>6000000</c:v>
                </c:pt>
                <c:pt idx="24">
                  <c:v>6250000</c:v>
                </c:pt>
                <c:pt idx="25">
                  <c:v>6500000</c:v>
                </c:pt>
                <c:pt idx="26">
                  <c:v>6750000</c:v>
                </c:pt>
                <c:pt idx="27">
                  <c:v>7000000</c:v>
                </c:pt>
                <c:pt idx="28">
                  <c:v>7250000</c:v>
                </c:pt>
                <c:pt idx="29">
                  <c:v>7500000</c:v>
                </c:pt>
                <c:pt idx="30">
                  <c:v>7750000</c:v>
                </c:pt>
                <c:pt idx="31">
                  <c:v>8000000</c:v>
                </c:pt>
                <c:pt idx="32">
                  <c:v>8250000</c:v>
                </c:pt>
                <c:pt idx="33">
                  <c:v>8500000</c:v>
                </c:pt>
                <c:pt idx="34">
                  <c:v>8750000</c:v>
                </c:pt>
                <c:pt idx="35">
                  <c:v>9000000</c:v>
                </c:pt>
                <c:pt idx="36">
                  <c:v>9250000</c:v>
                </c:pt>
                <c:pt idx="37">
                  <c:v>9500000</c:v>
                </c:pt>
                <c:pt idx="38">
                  <c:v>9750000</c:v>
                </c:pt>
                <c:pt idx="39">
                  <c:v>10000000</c:v>
                </c:pt>
                <c:pt idx="40">
                  <c:v>10250000</c:v>
                </c:pt>
                <c:pt idx="41">
                  <c:v>10500000</c:v>
                </c:pt>
                <c:pt idx="42">
                  <c:v>10750000</c:v>
                </c:pt>
                <c:pt idx="43">
                  <c:v>11000000</c:v>
                </c:pt>
                <c:pt idx="44">
                  <c:v>11250000</c:v>
                </c:pt>
                <c:pt idx="45">
                  <c:v>11500000</c:v>
                </c:pt>
                <c:pt idx="46">
                  <c:v>11750000</c:v>
                </c:pt>
                <c:pt idx="47">
                  <c:v>12000000</c:v>
                </c:pt>
                <c:pt idx="48">
                  <c:v>12250000</c:v>
                </c:pt>
                <c:pt idx="49">
                  <c:v>12500000</c:v>
                </c:pt>
                <c:pt idx="50">
                  <c:v>12750000</c:v>
                </c:pt>
                <c:pt idx="51">
                  <c:v>13000000</c:v>
                </c:pt>
                <c:pt idx="52">
                  <c:v>13250000</c:v>
                </c:pt>
                <c:pt idx="53">
                  <c:v>13500000</c:v>
                </c:pt>
                <c:pt idx="54">
                  <c:v>13750000</c:v>
                </c:pt>
                <c:pt idx="55">
                  <c:v>14000000</c:v>
                </c:pt>
                <c:pt idx="56">
                  <c:v>14250000</c:v>
                </c:pt>
                <c:pt idx="57">
                  <c:v>14500000</c:v>
                </c:pt>
                <c:pt idx="58">
                  <c:v>14750000</c:v>
                </c:pt>
                <c:pt idx="59">
                  <c:v>15000000</c:v>
                </c:pt>
                <c:pt idx="60">
                  <c:v>15250000</c:v>
                </c:pt>
                <c:pt idx="61">
                  <c:v>15500000</c:v>
                </c:pt>
                <c:pt idx="62">
                  <c:v>15750000</c:v>
                </c:pt>
                <c:pt idx="63">
                  <c:v>16000000</c:v>
                </c:pt>
                <c:pt idx="64">
                  <c:v>16250000</c:v>
                </c:pt>
                <c:pt idx="65">
                  <c:v>16500000</c:v>
                </c:pt>
                <c:pt idx="66">
                  <c:v>16750000</c:v>
                </c:pt>
                <c:pt idx="67">
                  <c:v>17000000</c:v>
                </c:pt>
                <c:pt idx="68">
                  <c:v>17250000</c:v>
                </c:pt>
                <c:pt idx="69">
                  <c:v>17500000</c:v>
                </c:pt>
                <c:pt idx="70">
                  <c:v>17750000</c:v>
                </c:pt>
                <c:pt idx="71">
                  <c:v>18000000</c:v>
                </c:pt>
                <c:pt idx="72">
                  <c:v>18250000</c:v>
                </c:pt>
                <c:pt idx="73">
                  <c:v>18500000</c:v>
                </c:pt>
                <c:pt idx="74">
                  <c:v>18750000</c:v>
                </c:pt>
                <c:pt idx="75">
                  <c:v>19000000</c:v>
                </c:pt>
                <c:pt idx="76">
                  <c:v>19250000</c:v>
                </c:pt>
                <c:pt idx="77">
                  <c:v>19500000</c:v>
                </c:pt>
                <c:pt idx="78">
                  <c:v>19750000</c:v>
                </c:pt>
              </c:numCache>
            </c:numRef>
          </c:xVal>
          <c:yVal>
            <c:numRef>
              <c:f>LDC0851_calc!$C$103:$C$181</c:f>
              <c:numCache>
                <c:formatCode>0.00E+00</c:formatCode>
                <c:ptCount val="79"/>
                <c:pt idx="0">
                  <c:v>137.93428401297598</c:v>
                </c:pt>
                <c:pt idx="1">
                  <c:v>68.96714200648799</c:v>
                </c:pt>
                <c:pt idx="2">
                  <c:v>45.978094670991986</c:v>
                </c:pt>
                <c:pt idx="3">
                  <c:v>34.483571003243995</c:v>
                </c:pt>
                <c:pt idx="4">
                  <c:v>27.586856802595197</c:v>
                </c:pt>
                <c:pt idx="5">
                  <c:v>22.989047335495993</c:v>
                </c:pt>
                <c:pt idx="6">
                  <c:v>19.704897716139428</c:v>
                </c:pt>
                <c:pt idx="7">
                  <c:v>17.241785501621997</c:v>
                </c:pt>
                <c:pt idx="8">
                  <c:v>15.32603155699733</c:v>
                </c:pt>
                <c:pt idx="9">
                  <c:v>13.793428401297598</c:v>
                </c:pt>
                <c:pt idx="10">
                  <c:v>12.539480364815997</c:v>
                </c:pt>
                <c:pt idx="11">
                  <c:v>11.494523667747996</c:v>
                </c:pt>
                <c:pt idx="12">
                  <c:v>10.610329539459689</c:v>
                </c:pt>
                <c:pt idx="13">
                  <c:v>9.8524488580697138</c:v>
                </c:pt>
                <c:pt idx="14">
                  <c:v>9.1956189341983983</c:v>
                </c:pt>
                <c:pt idx="15">
                  <c:v>8.6208927508109987</c:v>
                </c:pt>
                <c:pt idx="16">
                  <c:v>8.1137814125279988</c:v>
                </c:pt>
                <c:pt idx="17">
                  <c:v>7.6630157784986652</c:v>
                </c:pt>
                <c:pt idx="18">
                  <c:v>7.2596991585776829</c:v>
                </c:pt>
                <c:pt idx="19">
                  <c:v>6.8967142006487991</c:v>
                </c:pt>
                <c:pt idx="20">
                  <c:v>6.5682992387131414</c:v>
                </c:pt>
                <c:pt idx="21">
                  <c:v>6.2697401824079986</c:v>
                </c:pt>
                <c:pt idx="22">
                  <c:v>5.997142783172869</c:v>
                </c:pt>
                <c:pt idx="23">
                  <c:v>5.7472618338739982</c:v>
                </c:pt>
                <c:pt idx="24">
                  <c:v>5.5173713605190384</c:v>
                </c:pt>
                <c:pt idx="25">
                  <c:v>5.3051647697298447</c:v>
                </c:pt>
                <c:pt idx="26">
                  <c:v>5.1086771856657771</c:v>
                </c:pt>
                <c:pt idx="27">
                  <c:v>4.9262244290348569</c:v>
                </c:pt>
                <c:pt idx="28">
                  <c:v>4.7563546211371026</c:v>
                </c:pt>
                <c:pt idx="29">
                  <c:v>4.5978094670991991</c:v>
                </c:pt>
                <c:pt idx="30">
                  <c:v>4.4494930326766449</c:v>
                </c:pt>
                <c:pt idx="31">
                  <c:v>4.3104463754054994</c:v>
                </c:pt>
                <c:pt idx="32">
                  <c:v>4.179826788271999</c:v>
                </c:pt>
                <c:pt idx="33">
                  <c:v>4.0568907062639994</c:v>
                </c:pt>
                <c:pt idx="34">
                  <c:v>3.9409795432278845</c:v>
                </c:pt>
                <c:pt idx="35">
                  <c:v>3.8315078892493326</c:v>
                </c:pt>
                <c:pt idx="36">
                  <c:v>3.7279536219723237</c:v>
                </c:pt>
                <c:pt idx="37">
                  <c:v>3.6298495792888414</c:v>
                </c:pt>
                <c:pt idx="38">
                  <c:v>3.5367765131532298</c:v>
                </c:pt>
                <c:pt idx="39">
                  <c:v>3.4483571003243996</c:v>
                </c:pt>
                <c:pt idx="40">
                  <c:v>3.3642508295847797</c:v>
                </c:pt>
                <c:pt idx="41">
                  <c:v>3.2841496193565707</c:v>
                </c:pt>
                <c:pt idx="42">
                  <c:v>3.2077740468133946</c:v>
                </c:pt>
                <c:pt idx="43">
                  <c:v>3.1348700912039993</c:v>
                </c:pt>
                <c:pt idx="44">
                  <c:v>3.0652063113994661</c:v>
                </c:pt>
                <c:pt idx="45">
                  <c:v>2.9985713915864345</c:v>
                </c:pt>
                <c:pt idx="46">
                  <c:v>2.9347720002760842</c:v>
                </c:pt>
                <c:pt idx="47">
                  <c:v>2.8736309169369991</c:v>
                </c:pt>
                <c:pt idx="48">
                  <c:v>2.814985388019918</c:v>
                </c:pt>
                <c:pt idx="49">
                  <c:v>2.7586856802595192</c:v>
                </c:pt>
                <c:pt idx="50">
                  <c:v>2.7045938041759996</c:v>
                </c:pt>
                <c:pt idx="51">
                  <c:v>2.6525823848649224</c:v>
                </c:pt>
                <c:pt idx="52">
                  <c:v>2.6025336606221878</c:v>
                </c:pt>
                <c:pt idx="53">
                  <c:v>2.5543385928328886</c:v>
                </c:pt>
                <c:pt idx="54">
                  <c:v>2.5078960729631996</c:v>
                </c:pt>
                <c:pt idx="55">
                  <c:v>2.4631122145174285</c:v>
                </c:pt>
                <c:pt idx="56">
                  <c:v>2.4198997195258944</c:v>
                </c:pt>
                <c:pt idx="57">
                  <c:v>2.3781773105685513</c:v>
                </c:pt>
                <c:pt idx="58">
                  <c:v>2.3378692205589147</c:v>
                </c:pt>
                <c:pt idx="59">
                  <c:v>2.2989047335495996</c:v>
                </c:pt>
                <c:pt idx="60">
                  <c:v>2.261217770704524</c:v>
                </c:pt>
                <c:pt idx="61">
                  <c:v>2.2247465163383224</c:v>
                </c:pt>
                <c:pt idx="62">
                  <c:v>2.1894330795710473</c:v>
                </c:pt>
                <c:pt idx="63">
                  <c:v>2.1552231877027497</c:v>
                </c:pt>
                <c:pt idx="64">
                  <c:v>2.1220659078919382</c:v>
                </c:pt>
                <c:pt idx="65">
                  <c:v>2.0899133941359995</c:v>
                </c:pt>
                <c:pt idx="66">
                  <c:v>2.0587206569100895</c:v>
                </c:pt>
                <c:pt idx="67">
                  <c:v>2.0284453531319997</c:v>
                </c:pt>
                <c:pt idx="68">
                  <c:v>1.9990475943909563</c:v>
                </c:pt>
                <c:pt idx="69">
                  <c:v>1.9704897716139422</c:v>
                </c:pt>
                <c:pt idx="70">
                  <c:v>1.9427363945489573</c:v>
                </c:pt>
                <c:pt idx="71">
                  <c:v>1.9157539446246663</c:v>
                </c:pt>
                <c:pt idx="72">
                  <c:v>1.8895107399037805</c:v>
                </c:pt>
                <c:pt idx="73">
                  <c:v>1.8639768109861619</c:v>
                </c:pt>
                <c:pt idx="74">
                  <c:v>1.8391237868396799</c:v>
                </c:pt>
                <c:pt idx="75">
                  <c:v>1.8149247896444207</c:v>
                </c:pt>
                <c:pt idx="76">
                  <c:v>1.7913543378308565</c:v>
                </c:pt>
                <c:pt idx="77">
                  <c:v>1.7683882565766149</c:v>
                </c:pt>
                <c:pt idx="78">
                  <c:v>1.7460035951009616</c:v>
                </c:pt>
              </c:numCache>
            </c:numRef>
          </c:yVal>
          <c:smooth val="1"/>
        </c:ser>
        <c:ser>
          <c:idx val="0"/>
          <c:order val="1"/>
          <c:tx>
            <c:strRef>
              <c:f>LDC0851_calc!$D$102</c:f>
              <c:strCache>
                <c:ptCount val="1"/>
                <c:pt idx="0">
                  <c:v>Csensor &lt; 33pF</c:v>
                </c:pt>
              </c:strCache>
            </c:strRef>
          </c:tx>
          <c:spPr>
            <a:ln w="38100">
              <a:solidFill>
                <a:srgbClr val="951609"/>
              </a:solidFill>
              <a:prstDash val="solid"/>
            </a:ln>
          </c:spPr>
          <c:marker>
            <c:symbol val="none"/>
          </c:marker>
          <c:errBars>
            <c:errDir val="y"/>
            <c:errBarType val="plus"/>
            <c:errValType val="percentage"/>
            <c:noEndCap val="0"/>
            <c:val val="1000"/>
            <c:spPr>
              <a:ln w="50800">
                <a:solidFill>
                  <a:srgbClr val="951609"/>
                </a:solidFill>
              </a:ln>
            </c:spPr>
          </c:errBars>
          <c:xVal>
            <c:numRef>
              <c:f>LDC0851_calc!$B$103:$B$181</c:f>
              <c:numCache>
                <c:formatCode>0.00E+00</c:formatCode>
                <c:ptCount val="79"/>
                <c:pt idx="0">
                  <c:v>250000</c:v>
                </c:pt>
                <c:pt idx="1">
                  <c:v>500000</c:v>
                </c:pt>
                <c:pt idx="2">
                  <c:v>750000</c:v>
                </c:pt>
                <c:pt idx="3">
                  <c:v>1000000</c:v>
                </c:pt>
                <c:pt idx="4">
                  <c:v>1250000</c:v>
                </c:pt>
                <c:pt idx="5">
                  <c:v>1500000</c:v>
                </c:pt>
                <c:pt idx="6">
                  <c:v>1750000</c:v>
                </c:pt>
                <c:pt idx="7">
                  <c:v>2000000</c:v>
                </c:pt>
                <c:pt idx="8">
                  <c:v>2250000</c:v>
                </c:pt>
                <c:pt idx="9">
                  <c:v>2500000</c:v>
                </c:pt>
                <c:pt idx="10">
                  <c:v>2750000</c:v>
                </c:pt>
                <c:pt idx="11">
                  <c:v>3000000</c:v>
                </c:pt>
                <c:pt idx="12">
                  <c:v>3250000</c:v>
                </c:pt>
                <c:pt idx="13">
                  <c:v>3500000</c:v>
                </c:pt>
                <c:pt idx="14">
                  <c:v>3750000</c:v>
                </c:pt>
                <c:pt idx="15">
                  <c:v>4000000</c:v>
                </c:pt>
                <c:pt idx="16">
                  <c:v>4250000</c:v>
                </c:pt>
                <c:pt idx="17">
                  <c:v>4500000</c:v>
                </c:pt>
                <c:pt idx="18">
                  <c:v>4750000</c:v>
                </c:pt>
                <c:pt idx="19">
                  <c:v>5000000</c:v>
                </c:pt>
                <c:pt idx="20">
                  <c:v>5250000</c:v>
                </c:pt>
                <c:pt idx="21">
                  <c:v>5500000</c:v>
                </c:pt>
                <c:pt idx="22">
                  <c:v>5750000</c:v>
                </c:pt>
                <c:pt idx="23">
                  <c:v>6000000</c:v>
                </c:pt>
                <c:pt idx="24">
                  <c:v>6250000</c:v>
                </c:pt>
                <c:pt idx="25">
                  <c:v>6500000</c:v>
                </c:pt>
                <c:pt idx="26">
                  <c:v>6750000</c:v>
                </c:pt>
                <c:pt idx="27">
                  <c:v>7000000</c:v>
                </c:pt>
                <c:pt idx="28">
                  <c:v>7250000</c:v>
                </c:pt>
                <c:pt idx="29">
                  <c:v>7500000</c:v>
                </c:pt>
                <c:pt idx="30">
                  <c:v>7750000</c:v>
                </c:pt>
                <c:pt idx="31">
                  <c:v>8000000</c:v>
                </c:pt>
                <c:pt idx="32">
                  <c:v>8250000</c:v>
                </c:pt>
                <c:pt idx="33">
                  <c:v>8500000</c:v>
                </c:pt>
                <c:pt idx="34">
                  <c:v>8750000</c:v>
                </c:pt>
                <c:pt idx="35">
                  <c:v>9000000</c:v>
                </c:pt>
                <c:pt idx="36">
                  <c:v>9250000</c:v>
                </c:pt>
                <c:pt idx="37">
                  <c:v>9500000</c:v>
                </c:pt>
                <c:pt idx="38">
                  <c:v>9750000</c:v>
                </c:pt>
                <c:pt idx="39">
                  <c:v>10000000</c:v>
                </c:pt>
                <c:pt idx="40">
                  <c:v>10250000</c:v>
                </c:pt>
                <c:pt idx="41">
                  <c:v>10500000</c:v>
                </c:pt>
                <c:pt idx="42">
                  <c:v>10750000</c:v>
                </c:pt>
                <c:pt idx="43">
                  <c:v>11000000</c:v>
                </c:pt>
                <c:pt idx="44">
                  <c:v>11250000</c:v>
                </c:pt>
                <c:pt idx="45">
                  <c:v>11500000</c:v>
                </c:pt>
                <c:pt idx="46">
                  <c:v>11750000</c:v>
                </c:pt>
                <c:pt idx="47">
                  <c:v>12000000</c:v>
                </c:pt>
                <c:pt idx="48">
                  <c:v>12250000</c:v>
                </c:pt>
                <c:pt idx="49">
                  <c:v>12500000</c:v>
                </c:pt>
                <c:pt idx="50">
                  <c:v>12750000</c:v>
                </c:pt>
                <c:pt idx="51">
                  <c:v>13000000</c:v>
                </c:pt>
                <c:pt idx="52">
                  <c:v>13250000</c:v>
                </c:pt>
                <c:pt idx="53">
                  <c:v>13500000</c:v>
                </c:pt>
                <c:pt idx="54">
                  <c:v>13750000</c:v>
                </c:pt>
                <c:pt idx="55">
                  <c:v>14000000</c:v>
                </c:pt>
                <c:pt idx="56">
                  <c:v>14250000</c:v>
                </c:pt>
                <c:pt idx="57">
                  <c:v>14500000</c:v>
                </c:pt>
                <c:pt idx="58">
                  <c:v>14750000</c:v>
                </c:pt>
                <c:pt idx="59">
                  <c:v>15000000</c:v>
                </c:pt>
                <c:pt idx="60">
                  <c:v>15250000</c:v>
                </c:pt>
                <c:pt idx="61">
                  <c:v>15500000</c:v>
                </c:pt>
                <c:pt idx="62">
                  <c:v>15750000</c:v>
                </c:pt>
                <c:pt idx="63">
                  <c:v>16000000</c:v>
                </c:pt>
                <c:pt idx="64">
                  <c:v>16250000</c:v>
                </c:pt>
                <c:pt idx="65">
                  <c:v>16500000</c:v>
                </c:pt>
                <c:pt idx="66">
                  <c:v>16750000</c:v>
                </c:pt>
                <c:pt idx="67">
                  <c:v>17000000</c:v>
                </c:pt>
                <c:pt idx="68">
                  <c:v>17250000</c:v>
                </c:pt>
                <c:pt idx="69">
                  <c:v>17500000</c:v>
                </c:pt>
                <c:pt idx="70">
                  <c:v>17750000</c:v>
                </c:pt>
                <c:pt idx="71">
                  <c:v>18000000</c:v>
                </c:pt>
                <c:pt idx="72">
                  <c:v>18250000</c:v>
                </c:pt>
                <c:pt idx="73">
                  <c:v>18500000</c:v>
                </c:pt>
                <c:pt idx="74">
                  <c:v>18750000</c:v>
                </c:pt>
                <c:pt idx="75">
                  <c:v>19000000</c:v>
                </c:pt>
                <c:pt idx="76">
                  <c:v>19250000</c:v>
                </c:pt>
                <c:pt idx="77">
                  <c:v>19500000</c:v>
                </c:pt>
                <c:pt idx="78">
                  <c:v>19750000</c:v>
                </c:pt>
              </c:numCache>
            </c:numRef>
          </c:xVal>
          <c:yVal>
            <c:numRef>
              <c:f>LDC0851_calc!$D$103:$D$181</c:f>
              <c:numCache>
                <c:formatCode>General</c:formatCode>
                <c:ptCount val="79"/>
                <c:pt idx="0">
                  <c:v>24562.711186021286</c:v>
                </c:pt>
                <c:pt idx="1">
                  <c:v>6140.6777965053216</c:v>
                </c:pt>
                <c:pt idx="2">
                  <c:v>2729.1901317801421</c:v>
                </c:pt>
                <c:pt idx="3">
                  <c:v>1535.1694491263304</c:v>
                </c:pt>
                <c:pt idx="4">
                  <c:v>982.50844744085134</c:v>
                </c:pt>
                <c:pt idx="5">
                  <c:v>682.29753294503553</c:v>
                </c:pt>
                <c:pt idx="6">
                  <c:v>501.27982012288322</c:v>
                </c:pt>
                <c:pt idx="7">
                  <c:v>383.7923622815826</c:v>
                </c:pt>
                <c:pt idx="8">
                  <c:v>303.24334797557145</c:v>
                </c:pt>
                <c:pt idx="9">
                  <c:v>245.62711186021284</c:v>
                </c:pt>
                <c:pt idx="10">
                  <c:v>202.99761310761392</c:v>
                </c:pt>
                <c:pt idx="11">
                  <c:v>170.57438323625888</c:v>
                </c:pt>
                <c:pt idx="12">
                  <c:v>145.34148630781823</c:v>
                </c:pt>
                <c:pt idx="13">
                  <c:v>125.31995503072081</c:v>
                </c:pt>
                <c:pt idx="14">
                  <c:v>109.16760527120572</c:v>
                </c:pt>
                <c:pt idx="15">
                  <c:v>95.948090570395649</c:v>
                </c:pt>
                <c:pt idx="16">
                  <c:v>84.992080228447335</c:v>
                </c:pt>
                <c:pt idx="17">
                  <c:v>75.810836993892863</c:v>
                </c:pt>
                <c:pt idx="18">
                  <c:v>68.040751207815177</c:v>
                </c:pt>
                <c:pt idx="19">
                  <c:v>61.406777965053209</c:v>
                </c:pt>
                <c:pt idx="20">
                  <c:v>55.697757791431471</c:v>
                </c:pt>
                <c:pt idx="21">
                  <c:v>50.749403276903479</c:v>
                </c:pt>
                <c:pt idx="22">
                  <c:v>46.432346287374834</c:v>
                </c:pt>
                <c:pt idx="23">
                  <c:v>42.64359580906472</c:v>
                </c:pt>
                <c:pt idx="24">
                  <c:v>39.300337897634058</c:v>
                </c:pt>
                <c:pt idx="25">
                  <c:v>36.335371576954557</c:v>
                </c:pt>
                <c:pt idx="26">
                  <c:v>33.693705330619039</c:v>
                </c:pt>
                <c:pt idx="27">
                  <c:v>31.329988757680201</c:v>
                </c:pt>
                <c:pt idx="28">
                  <c:v>29.206553134389154</c:v>
                </c:pt>
                <c:pt idx="29">
                  <c:v>27.291901317801429</c:v>
                </c:pt>
                <c:pt idx="30">
                  <c:v>25.559532971926409</c:v>
                </c:pt>
                <c:pt idx="31">
                  <c:v>23.987022642598912</c:v>
                </c:pt>
                <c:pt idx="32">
                  <c:v>22.55529034529043</c:v>
                </c:pt>
                <c:pt idx="33">
                  <c:v>21.248020057111834</c:v>
                </c:pt>
                <c:pt idx="34">
                  <c:v>20.051192804915331</c:v>
                </c:pt>
                <c:pt idx="35">
                  <c:v>18.952709248473216</c:v>
                </c:pt>
                <c:pt idx="36">
                  <c:v>17.942082677882603</c:v>
                </c:pt>
                <c:pt idx="37">
                  <c:v>17.010187801953794</c:v>
                </c:pt>
                <c:pt idx="38">
                  <c:v>16.149054034202027</c:v>
                </c:pt>
                <c:pt idx="39">
                  <c:v>15.351694491263302</c:v>
                </c:pt>
                <c:pt idx="40">
                  <c:v>14.611963822737229</c:v>
                </c:pt>
                <c:pt idx="41">
                  <c:v>13.924439447857868</c:v>
                </c:pt>
                <c:pt idx="42">
                  <c:v>13.284321896171596</c:v>
                </c:pt>
                <c:pt idx="43">
                  <c:v>12.68735081922587</c:v>
                </c:pt>
                <c:pt idx="44">
                  <c:v>12.129733919022854</c:v>
                </c:pt>
                <c:pt idx="45">
                  <c:v>11.608086571843709</c:v>
                </c:pt>
                <c:pt idx="46">
                  <c:v>11.119380346772871</c:v>
                </c:pt>
                <c:pt idx="47">
                  <c:v>10.66089895226618</c:v>
                </c:pt>
                <c:pt idx="48">
                  <c:v>10.23020041067109</c:v>
                </c:pt>
                <c:pt idx="49">
                  <c:v>9.8250844744085146</c:v>
                </c:pt>
                <c:pt idx="50">
                  <c:v>9.4435644698274821</c:v>
                </c:pt>
                <c:pt idx="51">
                  <c:v>9.0838428942386393</c:v>
                </c:pt>
                <c:pt idx="52">
                  <c:v>8.7442902050627573</c:v>
                </c:pt>
                <c:pt idx="53">
                  <c:v>8.4234263326547598</c:v>
                </c:pt>
                <c:pt idx="54">
                  <c:v>8.1199045243045536</c:v>
                </c:pt>
                <c:pt idx="55">
                  <c:v>7.8324971894200504</c:v>
                </c:pt>
                <c:pt idx="56">
                  <c:v>7.560083467535021</c:v>
                </c:pt>
                <c:pt idx="57">
                  <c:v>7.3016382835972884</c:v>
                </c:pt>
                <c:pt idx="58">
                  <c:v>7.0562226906122607</c:v>
                </c:pt>
                <c:pt idx="59">
                  <c:v>6.8229753294503572</c:v>
                </c:pt>
                <c:pt idx="60">
                  <c:v>6.6011048605270854</c:v>
                </c:pt>
                <c:pt idx="61">
                  <c:v>6.3898832429816022</c:v>
                </c:pt>
                <c:pt idx="62">
                  <c:v>6.1886397546034981</c:v>
                </c:pt>
                <c:pt idx="63">
                  <c:v>5.9967556606497281</c:v>
                </c:pt>
                <c:pt idx="64">
                  <c:v>5.813659452312729</c:v>
                </c:pt>
                <c:pt idx="65">
                  <c:v>5.6388225863226076</c:v>
                </c:pt>
                <c:pt idx="66">
                  <c:v>5.4717556663001288</c:v>
                </c:pt>
                <c:pt idx="67">
                  <c:v>5.3120050142779585</c:v>
                </c:pt>
                <c:pt idx="68">
                  <c:v>5.1591495874860911</c:v>
                </c:pt>
                <c:pt idx="69">
                  <c:v>5.0127982012288328</c:v>
                </c:pt>
                <c:pt idx="70">
                  <c:v>4.8725870236106497</c:v>
                </c:pt>
                <c:pt idx="71">
                  <c:v>4.738177312118304</c:v>
                </c:pt>
                <c:pt idx="72">
                  <c:v>4.6092533657386534</c:v>
                </c:pt>
                <c:pt idx="73">
                  <c:v>4.4855206694706506</c:v>
                </c:pt>
                <c:pt idx="74">
                  <c:v>4.3667042108482281</c:v>
                </c:pt>
                <c:pt idx="75">
                  <c:v>4.2525469504884486</c:v>
                </c:pt>
                <c:pt idx="76">
                  <c:v>4.1428084307676301</c:v>
                </c:pt>
                <c:pt idx="77">
                  <c:v>4.0372635085505069</c:v>
                </c:pt>
                <c:pt idx="78">
                  <c:v>3.9357011994906719</c:v>
                </c:pt>
              </c:numCache>
            </c:numRef>
          </c:yVal>
          <c:smooth val="1"/>
        </c:ser>
        <c:ser>
          <c:idx val="1"/>
          <c:order val="2"/>
          <c:tx>
            <c:v>Sensor Operation</c:v>
          </c:tx>
          <c:spPr>
            <a:ln>
              <a:solidFill>
                <a:schemeClr val="tx1"/>
              </a:solidFill>
            </a:ln>
          </c:spPr>
          <c:marker>
            <c:symbol val="circle"/>
            <c:size val="5"/>
            <c:spPr>
              <a:solidFill>
                <a:srgbClr val="00B0F0"/>
              </a:solidFill>
            </c:spPr>
          </c:marker>
          <c:dPt>
            <c:idx val="1"/>
            <c:marker>
              <c:symbol val="none"/>
            </c:marker>
            <c:bubble3D val="0"/>
          </c:dPt>
          <c:dPt>
            <c:idx val="2"/>
            <c:marker>
              <c:symbol val="none"/>
            </c:marker>
            <c:bubble3D val="0"/>
          </c:dPt>
          <c:dPt>
            <c:idx val="3"/>
            <c:marker>
              <c:symbol val="none"/>
            </c:marker>
            <c:bubble3D val="0"/>
            <c:spPr>
              <a:ln>
                <a:solidFill>
                  <a:schemeClr val="tx1"/>
                </a:solidFill>
                <a:tailEnd type="none"/>
              </a:ln>
            </c:spPr>
          </c:dPt>
          <c:dPt>
            <c:idx val="4"/>
            <c:bubble3D val="0"/>
            <c:spPr>
              <a:ln>
                <a:solidFill>
                  <a:schemeClr val="tx1"/>
                </a:solidFill>
                <a:headEnd type="none"/>
                <a:tailEnd type="triangle"/>
              </a:ln>
            </c:spPr>
          </c:dPt>
          <c:xVal>
            <c:numRef>
              <c:f>LDC0851_calc!$E$103:$E$107</c:f>
              <c:numCache>
                <c:formatCode>0.000</c:formatCode>
                <c:ptCount val="5"/>
                <c:pt idx="0">
                  <c:v>8682613.9755357075</c:v>
                </c:pt>
                <c:pt idx="1">
                  <c:v>9213239.9845538903</c:v>
                </c:pt>
                <c:pt idx="2">
                  <c:v>9854787.3460585084</c:v>
                </c:pt>
                <c:pt idx="3">
                  <c:v>10652206.935895316</c:v>
                </c:pt>
                <c:pt idx="4">
                  <c:v>11680932.814202566</c:v>
                </c:pt>
              </c:numCache>
            </c:numRef>
          </c:xVal>
          <c:yVal>
            <c:numRef>
              <c:f>LDC0851_calc!$F$103:$F$107</c:f>
              <c:numCache>
                <c:formatCode>0.0000</c:formatCode>
                <c:ptCount val="5"/>
                <c:pt idx="0" formatCode="0.00">
                  <c:v>8</c:v>
                </c:pt>
                <c:pt idx="1">
                  <c:v>7.1050347349955452</c:v>
                </c:pt>
                <c:pt idx="2">
                  <c:v>6.2100694699910903</c:v>
                </c:pt>
                <c:pt idx="3">
                  <c:v>5.3151042049866355</c:v>
                </c:pt>
                <c:pt idx="4">
                  <c:v>4.4201389399821789</c:v>
                </c:pt>
              </c:numCache>
            </c:numRef>
          </c:yVal>
          <c:smooth val="0"/>
        </c:ser>
        <c:dLbls>
          <c:showLegendKey val="0"/>
          <c:showVal val="0"/>
          <c:showCatName val="0"/>
          <c:showSerName val="0"/>
          <c:showPercent val="0"/>
          <c:showBubbleSize val="0"/>
        </c:dLbls>
        <c:axId val="181360408"/>
        <c:axId val="181360800"/>
      </c:scatterChart>
      <c:valAx>
        <c:axId val="181360408"/>
        <c:scaling>
          <c:orientation val="minMax"/>
          <c:max val="20000000"/>
          <c:min val="0"/>
        </c:scaling>
        <c:delete val="0"/>
        <c:axPos val="b"/>
        <c:majorGridlines>
          <c:spPr>
            <a:ln>
              <a:solidFill>
                <a:schemeClr val="bg1">
                  <a:lumMod val="65000"/>
                </a:schemeClr>
              </a:solidFill>
            </a:ln>
          </c:spPr>
        </c:majorGridlines>
        <c:minorGridlines>
          <c:spPr>
            <a:ln>
              <a:solidFill>
                <a:schemeClr val="bg1">
                  <a:lumMod val="75000"/>
                </a:schemeClr>
              </a:solidFill>
            </a:ln>
          </c:spPr>
        </c:minorGridlines>
        <c:title>
          <c:tx>
            <c:rich>
              <a:bodyPr/>
              <a:lstStyle/>
              <a:p>
                <a:pPr>
                  <a:defRPr sz="900" b="0"/>
                </a:pPr>
                <a:r>
                  <a:rPr lang="en-US" sz="900" b="1"/>
                  <a:t>Sensor Frequency (MHz)</a:t>
                </a:r>
              </a:p>
            </c:rich>
          </c:tx>
          <c:layout>
            <c:manualLayout>
              <c:xMode val="edge"/>
              <c:yMode val="edge"/>
              <c:x val="0.35761559397276033"/>
              <c:y val="0.89778991556402599"/>
            </c:manualLayout>
          </c:layout>
          <c:overlay val="0"/>
        </c:title>
        <c:numFmt formatCode="#,##0.0" sourceLinked="0"/>
        <c:majorTickMark val="out"/>
        <c:minorTickMark val="none"/>
        <c:tickLblPos val="nextTo"/>
        <c:txPr>
          <a:bodyPr/>
          <a:lstStyle/>
          <a:p>
            <a:pPr>
              <a:defRPr sz="800"/>
            </a:pPr>
            <a:endParaRPr lang="en-US"/>
          </a:p>
        </c:txPr>
        <c:crossAx val="181360800"/>
        <c:crosses val="autoZero"/>
        <c:crossBetween val="midCat"/>
        <c:majorUnit val="2000000"/>
        <c:minorUnit val="500000"/>
        <c:dispUnits>
          <c:builtInUnit val="millions"/>
        </c:dispUnits>
      </c:valAx>
      <c:valAx>
        <c:axId val="181360800"/>
        <c:scaling>
          <c:orientation val="minMax"/>
          <c:max val="40"/>
          <c:min val="0"/>
        </c:scaling>
        <c:delete val="0"/>
        <c:axPos val="l"/>
        <c:majorGridlines>
          <c:spPr>
            <a:ln>
              <a:solidFill>
                <a:schemeClr val="bg1">
                  <a:lumMod val="65000"/>
                </a:schemeClr>
              </a:solidFill>
            </a:ln>
          </c:spPr>
        </c:majorGridlines>
        <c:title>
          <c:tx>
            <c:rich>
              <a:bodyPr rot="-5400000" vert="horz"/>
              <a:lstStyle/>
              <a:p>
                <a:pPr>
                  <a:defRPr sz="900" b="0"/>
                </a:pPr>
                <a:r>
                  <a:rPr lang="en-US" sz="900" b="1"/>
                  <a:t>Inductance (µH)</a:t>
                </a:r>
              </a:p>
            </c:rich>
          </c:tx>
          <c:layout>
            <c:manualLayout>
              <c:xMode val="edge"/>
              <c:yMode val="edge"/>
              <c:x val="1.0526312881250758E-2"/>
              <c:y val="0.24407227601242398"/>
            </c:manualLayout>
          </c:layout>
          <c:overlay val="0"/>
        </c:title>
        <c:numFmt formatCode="#,##0.0" sourceLinked="0"/>
        <c:majorTickMark val="out"/>
        <c:minorTickMark val="none"/>
        <c:tickLblPos val="nextTo"/>
        <c:txPr>
          <a:bodyPr/>
          <a:lstStyle/>
          <a:p>
            <a:pPr>
              <a:defRPr sz="800"/>
            </a:pPr>
            <a:endParaRPr lang="en-US"/>
          </a:p>
        </c:txPr>
        <c:crossAx val="181360408"/>
        <c:crosses val="autoZero"/>
        <c:crossBetween val="midCat"/>
      </c:valAx>
      <c:spPr>
        <a:solidFill>
          <a:schemeClr val="accent3">
            <a:lumMod val="40000"/>
            <a:lumOff val="60000"/>
          </a:schemeClr>
        </a:solidFill>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22864378688536"/>
          <c:y val="7.1374889688843174E-2"/>
          <c:w val="0.79801821171505516"/>
          <c:h val="0.60755932994305084"/>
        </c:manualLayout>
      </c:layout>
      <c:scatterChart>
        <c:scatterStyle val="lineMarker"/>
        <c:varyColors val="0"/>
        <c:ser>
          <c:idx val="0"/>
          <c:order val="0"/>
          <c:tx>
            <c:strRef>
              <c:f>LDC0851_calc!$L$102</c:f>
              <c:strCache>
                <c:ptCount val="1"/>
                <c:pt idx="0">
                  <c:v>Approx Switch OFF</c:v>
                </c:pt>
              </c:strCache>
            </c:strRef>
          </c:tx>
          <c:spPr>
            <a:ln>
              <a:solidFill>
                <a:srgbClr val="00B0F0"/>
              </a:solidFill>
            </a:ln>
          </c:spPr>
          <c:marker>
            <c:symbol val="square"/>
            <c:size val="5"/>
          </c:marker>
          <c:xVal>
            <c:numRef>
              <c:f>LDC0851_calc!$I$103:$I$117</c:f>
              <c:numCache>
                <c:formatCode>General</c:formatCode>
                <c:ptCount val="15"/>
                <c:pt idx="0">
                  <c:v>15</c:v>
                </c:pt>
                <c:pt idx="1">
                  <c:v>14</c:v>
                </c:pt>
                <c:pt idx="2">
                  <c:v>13</c:v>
                </c:pt>
                <c:pt idx="3">
                  <c:v>12</c:v>
                </c:pt>
                <c:pt idx="4">
                  <c:v>11</c:v>
                </c:pt>
                <c:pt idx="5">
                  <c:v>10</c:v>
                </c:pt>
                <c:pt idx="6">
                  <c:v>9</c:v>
                </c:pt>
                <c:pt idx="7">
                  <c:v>8</c:v>
                </c:pt>
                <c:pt idx="8">
                  <c:v>7</c:v>
                </c:pt>
                <c:pt idx="9">
                  <c:v>6</c:v>
                </c:pt>
                <c:pt idx="10">
                  <c:v>5</c:v>
                </c:pt>
                <c:pt idx="11">
                  <c:v>4</c:v>
                </c:pt>
                <c:pt idx="12">
                  <c:v>3</c:v>
                </c:pt>
                <c:pt idx="13">
                  <c:v>2</c:v>
                </c:pt>
                <c:pt idx="14">
                  <c:v>1</c:v>
                </c:pt>
              </c:numCache>
            </c:numRef>
          </c:xVal>
          <c:yVal>
            <c:numRef>
              <c:f>LDC0851_calc!$L$103:$L$117</c:f>
              <c:numCache>
                <c:formatCode>General</c:formatCode>
                <c:ptCount val="15"/>
                <c:pt idx="0">
                  <c:v>0.40773946360153246</c:v>
                </c:pt>
                <c:pt idx="1">
                  <c:v>0.85272030651341013</c:v>
                </c:pt>
                <c:pt idx="2">
                  <c:v>1.2209961685823754</c:v>
                </c:pt>
                <c:pt idx="3">
                  <c:v>1.5424137931034485</c:v>
                </c:pt>
                <c:pt idx="4">
                  <c:v>1.8627203065134101</c:v>
                </c:pt>
                <c:pt idx="5">
                  <c:v>2.1622605363984677</c:v>
                </c:pt>
                <c:pt idx="6">
                  <c:v>2.4501149425287356</c:v>
                </c:pt>
                <c:pt idx="7">
                  <c:v>2.7383524904214562</c:v>
                </c:pt>
                <c:pt idx="8">
                  <c:v>3.0434482758620689</c:v>
                </c:pt>
                <c:pt idx="9">
                  <c:v>3.3487356321839079</c:v>
                </c:pt>
                <c:pt idx="10">
                  <c:v>3.6708812260536399</c:v>
                </c:pt>
                <c:pt idx="11">
                  <c:v>4.0039463601532566</c:v>
                </c:pt>
                <c:pt idx="12">
                  <c:v>4.3125670498084299</c:v>
                </c:pt>
                <c:pt idx="13">
                  <c:v>4.6011877394636009</c:v>
                </c:pt>
                <c:pt idx="14">
                  <c:v>4.9546360153256703</c:v>
                </c:pt>
              </c:numCache>
            </c:numRef>
          </c:yVal>
          <c:smooth val="0"/>
        </c:ser>
        <c:ser>
          <c:idx val="1"/>
          <c:order val="1"/>
          <c:tx>
            <c:strRef>
              <c:f>LDC0851_calc!$M$102</c:f>
              <c:strCache>
                <c:ptCount val="1"/>
                <c:pt idx="0">
                  <c:v>Approx Switch ON</c:v>
                </c:pt>
              </c:strCache>
            </c:strRef>
          </c:tx>
          <c:spPr>
            <a:ln>
              <a:solidFill>
                <a:srgbClr val="FF00FF"/>
              </a:solidFill>
            </a:ln>
          </c:spPr>
          <c:marker>
            <c:symbol val="square"/>
            <c:size val="4"/>
          </c:marker>
          <c:xVal>
            <c:numRef>
              <c:f>LDC0851_calc!$I$103:$I$117</c:f>
              <c:numCache>
                <c:formatCode>General</c:formatCode>
                <c:ptCount val="15"/>
                <c:pt idx="0">
                  <c:v>15</c:v>
                </c:pt>
                <c:pt idx="1">
                  <c:v>14</c:v>
                </c:pt>
                <c:pt idx="2">
                  <c:v>13</c:v>
                </c:pt>
                <c:pt idx="3">
                  <c:v>12</c:v>
                </c:pt>
                <c:pt idx="4">
                  <c:v>11</c:v>
                </c:pt>
                <c:pt idx="5">
                  <c:v>10</c:v>
                </c:pt>
                <c:pt idx="6">
                  <c:v>9</c:v>
                </c:pt>
                <c:pt idx="7">
                  <c:v>8</c:v>
                </c:pt>
                <c:pt idx="8">
                  <c:v>7</c:v>
                </c:pt>
                <c:pt idx="9">
                  <c:v>6</c:v>
                </c:pt>
                <c:pt idx="10">
                  <c:v>5</c:v>
                </c:pt>
                <c:pt idx="11">
                  <c:v>4</c:v>
                </c:pt>
                <c:pt idx="12">
                  <c:v>3</c:v>
                </c:pt>
                <c:pt idx="13">
                  <c:v>2</c:v>
                </c:pt>
                <c:pt idx="14">
                  <c:v>1</c:v>
                </c:pt>
              </c:numCache>
            </c:numRef>
          </c:xVal>
          <c:yVal>
            <c:numRef>
              <c:f>LDC0851_calc!$M$103:$M$117</c:f>
              <c:numCache>
                <c:formatCode>General</c:formatCode>
                <c:ptCount val="15"/>
                <c:pt idx="0">
                  <c:v>0.37363984674329498</c:v>
                </c:pt>
                <c:pt idx="1">
                  <c:v>0.79954022988505746</c:v>
                </c:pt>
                <c:pt idx="2">
                  <c:v>1.1578160919540201</c:v>
                </c:pt>
                <c:pt idx="3">
                  <c:v>1.4714559386973181</c:v>
                </c:pt>
                <c:pt idx="4">
                  <c:v>1.7736015325670496</c:v>
                </c:pt>
                <c:pt idx="5">
                  <c:v>2.0666666666666664</c:v>
                </c:pt>
                <c:pt idx="6">
                  <c:v>2.3232183908045974</c:v>
                </c:pt>
                <c:pt idx="7">
                  <c:v>2.5910727969348657</c:v>
                </c:pt>
                <c:pt idx="8">
                  <c:v>2.8681992337164752</c:v>
                </c:pt>
                <c:pt idx="9">
                  <c:v>3.1353256704980841</c:v>
                </c:pt>
                <c:pt idx="10">
                  <c:v>3.3976245210727969</c:v>
                </c:pt>
                <c:pt idx="11">
                  <c:v>3.6918007662835244</c:v>
                </c:pt>
                <c:pt idx="12">
                  <c:v>3.9567049808429116</c:v>
                </c:pt>
                <c:pt idx="13">
                  <c:v>4.1769731800766285</c:v>
                </c:pt>
                <c:pt idx="14">
                  <c:v>4.4563218390804593</c:v>
                </c:pt>
              </c:numCache>
            </c:numRef>
          </c:yVal>
          <c:smooth val="0"/>
        </c:ser>
        <c:ser>
          <c:idx val="2"/>
          <c:order val="2"/>
          <c:tx>
            <c:strRef>
              <c:f>LDC0851_calc!$N$102</c:f>
              <c:strCache>
                <c:ptCount val="1"/>
                <c:pt idx="0">
                  <c:v>Desired Switching</c:v>
                </c:pt>
              </c:strCache>
            </c:strRef>
          </c:tx>
          <c:spPr>
            <a:ln>
              <a:solidFill>
                <a:srgbClr val="00B050"/>
              </a:solidFill>
            </a:ln>
          </c:spPr>
          <c:marker>
            <c:symbol val="none"/>
          </c:marker>
          <c:xVal>
            <c:numRef>
              <c:f>LDC0851_calc!$I$103:$I$117</c:f>
              <c:numCache>
                <c:formatCode>General</c:formatCode>
                <c:ptCount val="15"/>
                <c:pt idx="0">
                  <c:v>15</c:v>
                </c:pt>
                <c:pt idx="1">
                  <c:v>14</c:v>
                </c:pt>
                <c:pt idx="2">
                  <c:v>13</c:v>
                </c:pt>
                <c:pt idx="3">
                  <c:v>12</c:v>
                </c:pt>
                <c:pt idx="4">
                  <c:v>11</c:v>
                </c:pt>
                <c:pt idx="5">
                  <c:v>10</c:v>
                </c:pt>
                <c:pt idx="6">
                  <c:v>9</c:v>
                </c:pt>
                <c:pt idx="7">
                  <c:v>8</c:v>
                </c:pt>
                <c:pt idx="8">
                  <c:v>7</c:v>
                </c:pt>
                <c:pt idx="9">
                  <c:v>6</c:v>
                </c:pt>
                <c:pt idx="10">
                  <c:v>5</c:v>
                </c:pt>
                <c:pt idx="11">
                  <c:v>4</c:v>
                </c:pt>
                <c:pt idx="12">
                  <c:v>3</c:v>
                </c:pt>
                <c:pt idx="13">
                  <c:v>2</c:v>
                </c:pt>
                <c:pt idx="14">
                  <c:v>1</c:v>
                </c:pt>
              </c:numCache>
            </c:numRef>
          </c:xVal>
          <c:yVal>
            <c:numRef>
              <c:f>LDC0851_calc!$N$103:$N$117</c:f>
              <c:numCache>
                <c:formatCode>General</c:formatCode>
                <c:ptCount val="1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numCache>
            </c:numRef>
          </c:yVal>
          <c:smooth val="0"/>
        </c:ser>
        <c:ser>
          <c:idx val="5"/>
          <c:order val="3"/>
          <c:tx>
            <c:strRef>
              <c:f>LDC0851_calc!$O$102</c:f>
              <c:strCache>
                <c:ptCount val="1"/>
                <c:pt idx="0">
                  <c:v>Closest Target Disance</c:v>
                </c:pt>
              </c:strCache>
            </c:strRef>
          </c:tx>
          <c:spPr>
            <a:ln>
              <a:solidFill>
                <a:schemeClr val="tx1"/>
              </a:solidFill>
              <a:prstDash val="dash"/>
            </a:ln>
          </c:spPr>
          <c:marker>
            <c:symbol val="none"/>
          </c:marker>
          <c:errBars>
            <c:errDir val="y"/>
            <c:errBarType val="minus"/>
            <c:errValType val="percentage"/>
            <c:noEndCap val="0"/>
            <c:val val="1000"/>
            <c:spPr>
              <a:ln w="508000">
                <a:solidFill>
                  <a:srgbClr val="951609"/>
                </a:solidFill>
              </a:ln>
            </c:spPr>
          </c:errBars>
          <c:xVal>
            <c:numRef>
              <c:f>LDC0851_calc!$I$103:$I$117</c:f>
              <c:numCache>
                <c:formatCode>General</c:formatCode>
                <c:ptCount val="15"/>
                <c:pt idx="0">
                  <c:v>15</c:v>
                </c:pt>
                <c:pt idx="1">
                  <c:v>14</c:v>
                </c:pt>
                <c:pt idx="2">
                  <c:v>13</c:v>
                </c:pt>
                <c:pt idx="3">
                  <c:v>12</c:v>
                </c:pt>
                <c:pt idx="4">
                  <c:v>11</c:v>
                </c:pt>
                <c:pt idx="5">
                  <c:v>10</c:v>
                </c:pt>
                <c:pt idx="6">
                  <c:v>9</c:v>
                </c:pt>
                <c:pt idx="7">
                  <c:v>8</c:v>
                </c:pt>
                <c:pt idx="8">
                  <c:v>7</c:v>
                </c:pt>
                <c:pt idx="9">
                  <c:v>6</c:v>
                </c:pt>
                <c:pt idx="10">
                  <c:v>5</c:v>
                </c:pt>
                <c:pt idx="11">
                  <c:v>4</c:v>
                </c:pt>
                <c:pt idx="12">
                  <c:v>3</c:v>
                </c:pt>
                <c:pt idx="13">
                  <c:v>2</c:v>
                </c:pt>
                <c:pt idx="14">
                  <c:v>1</c:v>
                </c:pt>
              </c:numCache>
            </c:numRef>
          </c:xVal>
          <c:yVal>
            <c:numRef>
              <c:f>LDC0851_calc!$O$103:$O$117</c:f>
              <c:numCache>
                <c:formatCode>0.00</c:formatCode>
                <c:ptCount val="1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numCache>
            </c:numRef>
          </c:yVal>
          <c:smooth val="0"/>
        </c:ser>
        <c:dLbls>
          <c:showLegendKey val="0"/>
          <c:showVal val="0"/>
          <c:showCatName val="0"/>
          <c:showSerName val="0"/>
          <c:showPercent val="0"/>
          <c:showBubbleSize val="0"/>
        </c:dLbls>
        <c:axId val="181361584"/>
        <c:axId val="181361976"/>
      </c:scatterChart>
      <c:valAx>
        <c:axId val="181361584"/>
        <c:scaling>
          <c:orientation val="maxMin"/>
          <c:max val="15"/>
          <c:min val="1"/>
        </c:scaling>
        <c:delete val="0"/>
        <c:axPos val="b"/>
        <c:majorGridlines>
          <c:spPr>
            <a:ln>
              <a:solidFill>
                <a:schemeClr val="bg1">
                  <a:lumMod val="85000"/>
                </a:schemeClr>
              </a:solidFill>
            </a:ln>
          </c:spPr>
        </c:majorGridlines>
        <c:minorGridlines/>
        <c:title>
          <c:tx>
            <c:rich>
              <a:bodyPr/>
              <a:lstStyle/>
              <a:p>
                <a:pPr>
                  <a:defRPr/>
                </a:pPr>
                <a:r>
                  <a:rPr lang="en-US"/>
                  <a:t>ADJ Code</a:t>
                </a:r>
              </a:p>
            </c:rich>
          </c:tx>
          <c:layout/>
          <c:overlay val="0"/>
        </c:title>
        <c:numFmt formatCode="General" sourceLinked="1"/>
        <c:majorTickMark val="out"/>
        <c:minorTickMark val="none"/>
        <c:tickLblPos val="nextTo"/>
        <c:txPr>
          <a:bodyPr/>
          <a:lstStyle/>
          <a:p>
            <a:pPr>
              <a:defRPr sz="800"/>
            </a:pPr>
            <a:endParaRPr lang="en-US"/>
          </a:p>
        </c:txPr>
        <c:crossAx val="181361976"/>
        <c:crossesAt val="-10"/>
        <c:crossBetween val="midCat"/>
        <c:majorUnit val="1"/>
        <c:minorUnit val="1"/>
      </c:valAx>
      <c:valAx>
        <c:axId val="181361976"/>
        <c:scaling>
          <c:orientation val="minMax"/>
          <c:min val="0"/>
        </c:scaling>
        <c:delete val="0"/>
        <c:axPos val="l"/>
        <c:majorGridlines>
          <c:spPr>
            <a:ln>
              <a:solidFill>
                <a:schemeClr val="bg1">
                  <a:lumMod val="85000"/>
                </a:schemeClr>
              </a:solidFill>
            </a:ln>
          </c:spPr>
        </c:majorGridlines>
        <c:title>
          <c:tx>
            <c:strRef>
              <c:f>LDC0851_calc!$I$101</c:f>
              <c:strCache>
                <c:ptCount val="1"/>
                <c:pt idx="0">
                  <c:v>Switching Distance (mm)</c:v>
                </c:pt>
              </c:strCache>
            </c:strRef>
          </c:tx>
          <c:layout/>
          <c:overlay val="0"/>
          <c:txPr>
            <a:bodyPr rot="-5400000" vert="horz"/>
            <a:lstStyle/>
            <a:p>
              <a:pPr>
                <a:defRPr/>
              </a:pPr>
              <a:endParaRPr lang="en-US"/>
            </a:p>
          </c:txPr>
        </c:title>
        <c:numFmt formatCode="General" sourceLinked="1"/>
        <c:majorTickMark val="out"/>
        <c:minorTickMark val="none"/>
        <c:tickLblPos val="nextTo"/>
        <c:txPr>
          <a:bodyPr/>
          <a:lstStyle/>
          <a:p>
            <a:pPr>
              <a:defRPr sz="800"/>
            </a:pPr>
            <a:endParaRPr lang="en-US"/>
          </a:p>
        </c:txPr>
        <c:crossAx val="181361584"/>
        <c:crosses val="max"/>
        <c:crossBetween val="midCat"/>
      </c:valAx>
    </c:plotArea>
    <c:legend>
      <c:legendPos val="b"/>
      <c:layout>
        <c:manualLayout>
          <c:xMode val="edge"/>
          <c:yMode val="edge"/>
          <c:x val="7.0570578215829252E-2"/>
          <c:y val="0.80952877983275351"/>
          <c:w val="0.92572108980294976"/>
          <c:h val="0.12070342012202477"/>
        </c:manualLayout>
      </c:layout>
      <c:overlay val="0"/>
      <c:spPr>
        <a:solidFill>
          <a:schemeClr val="bg1"/>
        </a:solidFill>
      </c:spPr>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023509465975637"/>
          <c:y val="5.24565196657502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195756121603017"/>
          <c:y val="0.17687391317898268"/>
          <c:w val="0.77873751003388592"/>
          <c:h val="0.65050464542646191"/>
        </c:manualLayout>
      </c:layout>
      <c:scatterChart>
        <c:scatterStyle val="smoothMarker"/>
        <c:varyColors val="0"/>
        <c:ser>
          <c:idx val="0"/>
          <c:order val="0"/>
          <c:tx>
            <c:strRef>
              <c:f>Metal_Deflection!$H$93</c:f>
              <c:strCache>
                <c:ptCount val="1"/>
                <c:pt idx="0">
                  <c:v>1.5N Uniform Force Deflection</c:v>
                </c:pt>
              </c:strCache>
            </c:strRef>
          </c:tx>
          <c:spPr>
            <a:ln w="19050" cap="rnd">
              <a:solidFill>
                <a:schemeClr val="accent1"/>
              </a:solidFill>
              <a:round/>
            </a:ln>
            <a:effectLst/>
          </c:spPr>
          <c:marker>
            <c:symbol val="none"/>
          </c:marker>
          <c:xVal>
            <c:numRef>
              <c:f>Metal_Deflection!$G$94:$G$155</c:f>
              <c:numCache>
                <c:formatCode>General</c:formatCode>
                <c:ptCount val="62"/>
                <c:pt idx="0">
                  <c:v>-4.4954999999999998</c:v>
                </c:pt>
                <c:pt idx="1">
                  <c:v>-4.0459500000000004</c:v>
                </c:pt>
                <c:pt idx="2">
                  <c:v>-3.6413550000000003</c:v>
                </c:pt>
                <c:pt idx="3">
                  <c:v>-3.2772195000000006</c:v>
                </c:pt>
                <c:pt idx="4">
                  <c:v>-2.9494975500000002</c:v>
                </c:pt>
                <c:pt idx="5">
                  <c:v>-2.6545477950000005</c:v>
                </c:pt>
                <c:pt idx="6">
                  <c:v>-2.3890930155000003</c:v>
                </c:pt>
                <c:pt idx="7">
                  <c:v>-2.1501837139500002</c:v>
                </c:pt>
                <c:pt idx="8">
                  <c:v>-1.9351653425550002</c:v>
                </c:pt>
                <c:pt idx="9">
                  <c:v>-1.7416488082995003</c:v>
                </c:pt>
                <c:pt idx="10">
                  <c:v>-1.5674839274695502</c:v>
                </c:pt>
                <c:pt idx="11">
                  <c:v>-1.4107355347225952</c:v>
                </c:pt>
                <c:pt idx="12">
                  <c:v>-1.2696619812503358</c:v>
                </c:pt>
                <c:pt idx="13">
                  <c:v>-1.1426957831253022</c:v>
                </c:pt>
                <c:pt idx="14">
                  <c:v>-1.0284262048127719</c:v>
                </c:pt>
                <c:pt idx="15">
                  <c:v>-0.92558358433149479</c:v>
                </c:pt>
                <c:pt idx="16">
                  <c:v>-0.83302522589834538</c:v>
                </c:pt>
                <c:pt idx="17">
                  <c:v>-0.74972270330851076</c:v>
                </c:pt>
                <c:pt idx="18">
                  <c:v>-0.67475043297765969</c:v>
                </c:pt>
                <c:pt idx="19">
                  <c:v>-0.60727538967989381</c:v>
                </c:pt>
                <c:pt idx="20">
                  <c:v>-0.54654785071190437</c:v>
                </c:pt>
                <c:pt idx="21">
                  <c:v>-0.491893065640714</c:v>
                </c:pt>
                <c:pt idx="22">
                  <c:v>-0.44270375907664261</c:v>
                </c:pt>
                <c:pt idx="23">
                  <c:v>-0.39843338316897836</c:v>
                </c:pt>
                <c:pt idx="24">
                  <c:v>-0.35859004485208057</c:v>
                </c:pt>
                <c:pt idx="25">
                  <c:v>-0.3227310403668725</c:v>
                </c:pt>
                <c:pt idx="26">
                  <c:v>-0.29045793633018524</c:v>
                </c:pt>
                <c:pt idx="27">
                  <c:v>-0.26141214269716673</c:v>
                </c:pt>
                <c:pt idx="28">
                  <c:v>-0.23527092842745004</c:v>
                </c:pt>
                <c:pt idx="29">
                  <c:v>-0.21174383558470505</c:v>
                </c:pt>
                <c:pt idx="30">
                  <c:v>-0.19056945202623454</c:v>
                </c:pt>
                <c:pt idx="31">
                  <c:v>0.19056945202623454</c:v>
                </c:pt>
                <c:pt idx="32">
                  <c:v>0.21174383558470505</c:v>
                </c:pt>
                <c:pt idx="33">
                  <c:v>0.23527092842745004</c:v>
                </c:pt>
                <c:pt idx="34">
                  <c:v>0.26141214269716673</c:v>
                </c:pt>
                <c:pt idx="35">
                  <c:v>0.29045793633018524</c:v>
                </c:pt>
                <c:pt idx="36">
                  <c:v>0.3227310403668725</c:v>
                </c:pt>
                <c:pt idx="37">
                  <c:v>0.35859004485208057</c:v>
                </c:pt>
                <c:pt idx="38">
                  <c:v>0.39843338316897836</c:v>
                </c:pt>
                <c:pt idx="39">
                  <c:v>0.44270375907664261</c:v>
                </c:pt>
                <c:pt idx="40">
                  <c:v>0.491893065640714</c:v>
                </c:pt>
                <c:pt idx="41">
                  <c:v>0.54654785071190437</c:v>
                </c:pt>
                <c:pt idx="42">
                  <c:v>0.60727538967989381</c:v>
                </c:pt>
                <c:pt idx="43">
                  <c:v>0.6747504329776598</c:v>
                </c:pt>
                <c:pt idx="44">
                  <c:v>0.74972270330851087</c:v>
                </c:pt>
                <c:pt idx="45">
                  <c:v>0.83302522589834549</c:v>
                </c:pt>
                <c:pt idx="46">
                  <c:v>0.9255835843314949</c:v>
                </c:pt>
                <c:pt idx="47">
                  <c:v>1.0284262048127721</c:v>
                </c:pt>
                <c:pt idx="48">
                  <c:v>1.1426957831253024</c:v>
                </c:pt>
                <c:pt idx="49">
                  <c:v>1.269661981250336</c:v>
                </c:pt>
                <c:pt idx="50">
                  <c:v>1.4107355347225956</c:v>
                </c:pt>
                <c:pt idx="51">
                  <c:v>1.5674839274695507</c:v>
                </c:pt>
                <c:pt idx="52">
                  <c:v>1.7416488082995008</c:v>
                </c:pt>
                <c:pt idx="53">
                  <c:v>1.9351653425550006</c:v>
                </c:pt>
                <c:pt idx="54">
                  <c:v>2.1501837139500006</c:v>
                </c:pt>
                <c:pt idx="55">
                  <c:v>2.3890930155000007</c:v>
                </c:pt>
                <c:pt idx="56">
                  <c:v>2.6545477950000009</c:v>
                </c:pt>
                <c:pt idx="57">
                  <c:v>2.9494975500000007</c:v>
                </c:pt>
                <c:pt idx="58">
                  <c:v>3.2772195000000011</c:v>
                </c:pt>
                <c:pt idx="59">
                  <c:v>3.6413550000000008</c:v>
                </c:pt>
                <c:pt idx="60">
                  <c:v>4.0459500000000013</c:v>
                </c:pt>
                <c:pt idx="61">
                  <c:v>4.4955000000000007</c:v>
                </c:pt>
              </c:numCache>
            </c:numRef>
          </c:xVal>
          <c:yVal>
            <c:numRef>
              <c:f>Metal_Deflection!$H$94:$H$155</c:f>
              <c:numCache>
                <c:formatCode>General</c:formatCode>
                <c:ptCount val="62"/>
                <c:pt idx="0">
                  <c:v>-3.9377273093096932E-7</c:v>
                </c:pt>
                <c:pt idx="1">
                  <c:v>-7.2316677903454928E-3</c:v>
                </c:pt>
                <c:pt idx="2">
                  <c:v>-2.3470972654374457E-2</c:v>
                </c:pt>
                <c:pt idx="3">
                  <c:v>-4.3436631008330069E-2</c:v>
                </c:pt>
                <c:pt idx="4">
                  <c:v>-6.407805030482E-2</c:v>
                </c:pt>
                <c:pt idx="5">
                  <c:v>-8.3729865694119374E-2</c:v>
                </c:pt>
                <c:pt idx="6">
                  <c:v>-0.10157169572402525</c:v>
                </c:pt>
                <c:pt idx="7">
                  <c:v>-0.11728582230856563</c:v>
                </c:pt>
                <c:pt idx="8">
                  <c:v>-0.13084242330123702</c:v>
                </c:pt>
                <c:pt idx="9">
                  <c:v>-0.14236662487037785</c:v>
                </c:pt>
                <c:pt idx="10">
                  <c:v>-0.15205772320274902</c:v>
                </c:pt>
                <c:pt idx="11">
                  <c:v>-0.16014140926173251</c:v>
                </c:pt>
                <c:pt idx="12">
                  <c:v>-0.1668426544039546</c:v>
                </c:pt>
                <c:pt idx="13">
                  <c:v>-0.17237134770409412</c:v>
                </c:pt>
                <c:pt idx="14">
                  <c:v>-0.17691564853180106</c:v>
                </c:pt>
                <c:pt idx="15">
                  <c:v>-0.18063987367918274</c:v>
                </c:pt>
                <c:pt idx="16">
                  <c:v>-0.18368493239158162</c:v>
                </c:pt>
                <c:pt idx="17">
                  <c:v>-0.18617008703327995</c:v>
                </c:pt>
                <c:pt idx="18">
                  <c:v>-0.18819530320629788</c:v>
                </c:pt>
                <c:pt idx="19">
                  <c:v>-0.18984375956962071</c:v>
                </c:pt>
                <c:pt idx="20">
                  <c:v>-0.19118427853568348</c:v>
                </c:pt>
                <c:pt idx="21">
                  <c:v>-0.19227355609364741</c:v>
                </c:pt>
                <c:pt idx="22">
                  <c:v>-0.19315813918153499</c:v>
                </c:pt>
                <c:pt idx="23">
                  <c:v>-0.1938761396920051</c:v>
                </c:pt>
                <c:pt idx="24">
                  <c:v>-0.19445869651959519</c:v>
                </c:pt>
                <c:pt idx="25">
                  <c:v>-0.19493120817524032</c:v>
                </c:pt>
                <c:pt idx="26">
                  <c:v>-0.19531436293057039</c:v>
                </c:pt>
                <c:pt idx="27">
                  <c:v>-0.19562499405057202</c:v>
                </c:pt>
                <c:pt idx="28">
                  <c:v>-0.19587678618927906</c:v>
                </c:pt>
                <c:pt idx="29">
                  <c:v>-0.19608085653079269</c:v>
                </c:pt>
                <c:pt idx="30">
                  <c:v>-0.19624623139249919</c:v>
                </c:pt>
                <c:pt idx="31">
                  <c:v>-0.19624623139249919</c:v>
                </c:pt>
                <c:pt idx="32">
                  <c:v>-0.19608085653079269</c:v>
                </c:pt>
                <c:pt idx="33">
                  <c:v>-0.19587678618927906</c:v>
                </c:pt>
                <c:pt idx="34">
                  <c:v>-0.19562499405057202</c:v>
                </c:pt>
                <c:pt idx="35">
                  <c:v>-0.19531436293057039</c:v>
                </c:pt>
                <c:pt idx="36">
                  <c:v>-0.19493120817524032</c:v>
                </c:pt>
                <c:pt idx="37">
                  <c:v>-0.19445869651959519</c:v>
                </c:pt>
                <c:pt idx="38">
                  <c:v>-0.1938761396920051</c:v>
                </c:pt>
                <c:pt idx="39">
                  <c:v>-0.19315813918153499</c:v>
                </c:pt>
                <c:pt idx="40">
                  <c:v>-0.19227355609364741</c:v>
                </c:pt>
                <c:pt idx="41">
                  <c:v>-0.19118427853568348</c:v>
                </c:pt>
                <c:pt idx="42">
                  <c:v>-0.18984375956962071</c:v>
                </c:pt>
                <c:pt idx="43">
                  <c:v>-0.18819530320629788</c:v>
                </c:pt>
                <c:pt idx="44">
                  <c:v>-0.18617008703327995</c:v>
                </c:pt>
                <c:pt idx="45">
                  <c:v>-0.18368493239158162</c:v>
                </c:pt>
                <c:pt idx="46">
                  <c:v>-0.18063987367918274</c:v>
                </c:pt>
                <c:pt idx="47">
                  <c:v>-0.17691564853180106</c:v>
                </c:pt>
                <c:pt idx="48">
                  <c:v>-0.17237134770409412</c:v>
                </c:pt>
                <c:pt idx="49">
                  <c:v>-0.1668426544039546</c:v>
                </c:pt>
                <c:pt idx="50">
                  <c:v>-0.16014140926173251</c:v>
                </c:pt>
                <c:pt idx="51">
                  <c:v>-0.15205772320274896</c:v>
                </c:pt>
                <c:pt idx="52">
                  <c:v>-0.14236662487037785</c:v>
                </c:pt>
                <c:pt idx="53">
                  <c:v>-0.13084242330123699</c:v>
                </c:pt>
                <c:pt idx="54">
                  <c:v>-0.11728582230856556</c:v>
                </c:pt>
                <c:pt idx="55">
                  <c:v>-0.10157169572402522</c:v>
                </c:pt>
                <c:pt idx="56">
                  <c:v>-8.3729865694119318E-2</c:v>
                </c:pt>
                <c:pt idx="57">
                  <c:v>-6.407805030482E-2</c:v>
                </c:pt>
                <c:pt idx="58">
                  <c:v>-4.3436631008330048E-2</c:v>
                </c:pt>
                <c:pt idx="59">
                  <c:v>-2.3470972654374443E-2</c:v>
                </c:pt>
                <c:pt idx="60">
                  <c:v>-7.2316677903454677E-3</c:v>
                </c:pt>
                <c:pt idx="61">
                  <c:v>-7.8702051920928071E-7</c:v>
                </c:pt>
              </c:numCache>
            </c:numRef>
          </c:yVal>
          <c:smooth val="1"/>
        </c:ser>
        <c:dLbls>
          <c:showLegendKey val="0"/>
          <c:showVal val="0"/>
          <c:showCatName val="0"/>
          <c:showSerName val="0"/>
          <c:showPercent val="0"/>
          <c:showBubbleSize val="0"/>
        </c:dLbls>
        <c:axId val="181363152"/>
        <c:axId val="226055344"/>
      </c:scatterChart>
      <c:valAx>
        <c:axId val="1813631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a:t>
                </a:r>
                <a:r>
                  <a:rPr lang="en-US" baseline="0"/>
                  <a:t> from Center</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055344"/>
        <c:crossesAt val="-100000"/>
        <c:crossBetween val="midCat"/>
      </c:valAx>
      <c:valAx>
        <c:axId val="226055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Deflection (µm)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363152"/>
        <c:crossesAt val="-1000000"/>
        <c:crossBetween val="midCat"/>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C$7" noThreeD="1"/>
</file>

<file path=xl/ctrlProps/ctrlProp2.xml><?xml version="1.0" encoding="utf-8"?>
<formControlPr xmlns="http://schemas.microsoft.com/office/spreadsheetml/2009/9/main" objectType="CheckBox" checked="Checked" fmlaLink="$G$7" noThreeD="1"/>
</file>

<file path=xl/ctrlProps/ctrlProp3.xml><?xml version="1.0" encoding="utf-8"?>
<formControlPr xmlns="http://schemas.microsoft.com/office/spreadsheetml/2009/9/main" objectType="CheckBox" checked="Checked" fmlaLink="$I$7" noThreeD="1"/>
</file>

<file path=xl/ctrlProps/ctrlProp4.xml><?xml version="1.0" encoding="utf-8"?>
<formControlPr xmlns="http://schemas.microsoft.com/office/spreadsheetml/2009/9/main" objectType="CheckBox" checked="Checked" fmlaLink="$E$7" noThreeD="1"/>
</file>

<file path=xl/ctrlProps/ctrlProp5.xml><?xml version="1.0" encoding="utf-8"?>
<formControlPr xmlns="http://schemas.microsoft.com/office/spreadsheetml/2009/9/main" objectType="CheckBox" checked="Checked" fmlaLink="$C$8" noThreeD="1"/>
</file>

<file path=xl/ctrlProps/ctrlProp6.xml><?xml version="1.0" encoding="utf-8"?>
<formControlPr xmlns="http://schemas.microsoft.com/office/spreadsheetml/2009/9/main" objectType="CheckBox" fmlaLink="$E$8" noThreeD="1"/>
</file>

<file path=xl/ctrlProps/ctrlProp7.xml><?xml version="1.0" encoding="utf-8"?>
<formControlPr xmlns="http://schemas.microsoft.com/office/spreadsheetml/2009/9/main" objectType="CheckBox" fmlaLink="$G$8" noThreeD="1"/>
</file>

<file path=xl/ctrlProps/ctrlProp8.xml><?xml version="1.0" encoding="utf-8"?>
<formControlPr xmlns="http://schemas.microsoft.com/office/spreadsheetml/2009/9/main" objectType="CheckBox" fmlaLink="$I$8"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4.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6</xdr:col>
      <xdr:colOff>2028265</xdr:colOff>
      <xdr:row>4</xdr:row>
      <xdr:rowOff>21852</xdr:rowOff>
    </xdr:from>
    <xdr:to>
      <xdr:col>23</xdr:col>
      <xdr:colOff>78752</xdr:colOff>
      <xdr:row>17</xdr:row>
      <xdr:rowOff>40902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8441" y="873499"/>
          <a:ext cx="3933576"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419100</xdr:colOff>
          <xdr:row>5</xdr:row>
          <xdr:rowOff>38100</xdr:rowOff>
        </xdr:from>
        <xdr:to>
          <xdr:col>4</xdr:col>
          <xdr:colOff>165100</xdr:colOff>
          <xdr:row>13</xdr:row>
          <xdr:rowOff>76200</xdr:rowOff>
        </xdr:to>
        <xdr:sp macro="" textlink="">
          <xdr:nvSpPr>
            <xdr:cNvPr id="53249" name="Object 1" hidden="1">
              <a:extLst>
                <a:ext uri="{63B3BB69-23CF-44E3-9099-C40C66FF867C}">
                  <a14:compatExt spid="_x0000_s532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425823</xdr:colOff>
      <xdr:row>5</xdr:row>
      <xdr:rowOff>44823</xdr:rowOff>
    </xdr:from>
    <xdr:to>
      <xdr:col>6</xdr:col>
      <xdr:colOff>1806898</xdr:colOff>
      <xdr:row>13</xdr:row>
      <xdr:rowOff>154863</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5524499" y="1086970"/>
          <a:ext cx="1952575" cy="16340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25400</xdr:rowOff>
        </xdr:from>
        <xdr:to>
          <xdr:col>2</xdr:col>
          <xdr:colOff>717550</xdr:colOff>
          <xdr:row>6</xdr:row>
          <xdr:rowOff>177800</xdr:rowOff>
        </xdr:to>
        <xdr:sp macro="" textlink="">
          <xdr:nvSpPr>
            <xdr:cNvPr id="88065" name="Check Box 1" descr="Enable Ch0" hidden="1">
              <a:extLst>
                <a:ext uri="{63B3BB69-23CF-44E3-9099-C40C66FF867C}">
                  <a14:compatExt spid="_x0000_s880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Enable Ch0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xdr:row>
          <xdr:rowOff>0</xdr:rowOff>
        </xdr:from>
        <xdr:to>
          <xdr:col>6</xdr:col>
          <xdr:colOff>723900</xdr:colOff>
          <xdr:row>6</xdr:row>
          <xdr:rowOff>184150</xdr:rowOff>
        </xdr:to>
        <xdr:sp macro="" textlink="">
          <xdr:nvSpPr>
            <xdr:cNvPr id="88066" name="Check Box 2" descr="Enable Ch0" hidden="1">
              <a:extLst>
                <a:ext uri="{63B3BB69-23CF-44E3-9099-C40C66FF867C}">
                  <a14:compatExt spid="_x0000_s88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Enable Ch2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xdr:row>
          <xdr:rowOff>184150</xdr:rowOff>
        </xdr:from>
        <xdr:to>
          <xdr:col>8</xdr:col>
          <xdr:colOff>692150</xdr:colOff>
          <xdr:row>6</xdr:row>
          <xdr:rowOff>190500</xdr:rowOff>
        </xdr:to>
        <xdr:sp macro="" textlink="">
          <xdr:nvSpPr>
            <xdr:cNvPr id="88067" name="Check Box 3" descr="Enable Ch0" hidden="1">
              <a:extLst>
                <a:ext uri="{63B3BB69-23CF-44E3-9099-C40C66FF867C}">
                  <a14:compatExt spid="_x0000_s8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Enable Ch3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xdr:row>
          <xdr:rowOff>177800</xdr:rowOff>
        </xdr:from>
        <xdr:to>
          <xdr:col>4</xdr:col>
          <xdr:colOff>692150</xdr:colOff>
          <xdr:row>6</xdr:row>
          <xdr:rowOff>177800</xdr:rowOff>
        </xdr:to>
        <xdr:sp macro="" textlink="">
          <xdr:nvSpPr>
            <xdr:cNvPr id="88068" name="Check Box 4" descr="Enable Ch0"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Enable Ch1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190500</xdr:rowOff>
        </xdr:from>
        <xdr:to>
          <xdr:col>2</xdr:col>
          <xdr:colOff>958850</xdr:colOff>
          <xdr:row>12</xdr:row>
          <xdr:rowOff>31750</xdr:rowOff>
        </xdr:to>
        <xdr:sp macro="" textlink="">
          <xdr:nvSpPr>
            <xdr:cNvPr id="88069" name="Check Box 5" descr="Enable Ch0"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Ch0 Low Power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6350</xdr:rowOff>
        </xdr:from>
        <xdr:to>
          <xdr:col>4</xdr:col>
          <xdr:colOff>939800</xdr:colOff>
          <xdr:row>7</xdr:row>
          <xdr:rowOff>177800</xdr:rowOff>
        </xdr:to>
        <xdr:sp macro="" textlink="">
          <xdr:nvSpPr>
            <xdr:cNvPr id="88070" name="Check Box 6" descr="Enable Ch0"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Ch1 Low Power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184150</xdr:rowOff>
        </xdr:from>
        <xdr:to>
          <xdr:col>6</xdr:col>
          <xdr:colOff>984250</xdr:colOff>
          <xdr:row>8</xdr:row>
          <xdr:rowOff>0</xdr:rowOff>
        </xdr:to>
        <xdr:sp macro="" textlink="">
          <xdr:nvSpPr>
            <xdr:cNvPr id="88071" name="Check Box 7" descr="Enable Ch0"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Ch2 Low Power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xdr:row>
          <xdr:rowOff>6350</xdr:rowOff>
        </xdr:from>
        <xdr:to>
          <xdr:col>8</xdr:col>
          <xdr:colOff>933450</xdr:colOff>
          <xdr:row>7</xdr:row>
          <xdr:rowOff>184150</xdr:rowOff>
        </xdr:to>
        <xdr:sp macro="" textlink="">
          <xdr:nvSpPr>
            <xdr:cNvPr id="88072" name="Check Box 8" descr="Enable Ch0" hidden="1">
              <a:extLst>
                <a:ext uri="{63B3BB69-23CF-44E3-9099-C40C66FF867C}">
                  <a14:compatExt spid="_x0000_s88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Ch3 Low Power</a:t>
              </a:r>
            </a:p>
          </xdr:txBody>
        </xdr:sp>
        <xdr:clientData fLocksWithSheet="0"/>
      </xdr:twoCellAnchor>
    </mc:Choice>
    <mc:Fallback/>
  </mc:AlternateContent>
  <xdr:twoCellAnchor>
    <xdr:from>
      <xdr:col>4</xdr:col>
      <xdr:colOff>117097</xdr:colOff>
      <xdr:row>39</xdr:row>
      <xdr:rowOff>22087</xdr:rowOff>
    </xdr:from>
    <xdr:to>
      <xdr:col>11</xdr:col>
      <xdr:colOff>314740</xdr:colOff>
      <xdr:row>61</xdr:row>
      <xdr:rowOff>176696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0.1411</cdr:x>
      <cdr:y>0.75926</cdr:y>
    </cdr:from>
    <cdr:to>
      <cdr:x>0.17573</cdr:x>
      <cdr:y>0.8146</cdr:y>
    </cdr:to>
    <cdr:sp macro="" textlink="">
      <cdr:nvSpPr>
        <cdr:cNvPr id="2" name="TextBox 1"/>
        <cdr:cNvSpPr txBox="1"/>
      </cdr:nvSpPr>
      <cdr:spPr>
        <a:xfrm xmlns:a="http://schemas.openxmlformats.org/drawingml/2006/main">
          <a:off x="707286" y="2605813"/>
          <a:ext cx="173586" cy="1899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LCDIV=0</a:t>
          </a:r>
        </a:p>
      </cdr:txBody>
    </cdr:sp>
  </cdr:relSizeAnchor>
  <cdr:relSizeAnchor xmlns:cdr="http://schemas.openxmlformats.org/drawingml/2006/chartDrawing">
    <cdr:from>
      <cdr:x>0.25922</cdr:x>
      <cdr:y>0.73977</cdr:y>
    </cdr:from>
    <cdr:to>
      <cdr:x>0.29384</cdr:x>
      <cdr:y>0.79511</cdr:y>
    </cdr:to>
    <cdr:sp macro="" textlink="">
      <cdr:nvSpPr>
        <cdr:cNvPr id="3" name="TextBox 1"/>
        <cdr:cNvSpPr txBox="1"/>
      </cdr:nvSpPr>
      <cdr:spPr>
        <a:xfrm xmlns:a="http://schemas.openxmlformats.org/drawingml/2006/main">
          <a:off x="1299364" y="2538920"/>
          <a:ext cx="173536" cy="1899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LCDIV=1</a:t>
          </a:r>
        </a:p>
      </cdr:txBody>
    </cdr:sp>
  </cdr:relSizeAnchor>
  <cdr:relSizeAnchor xmlns:cdr="http://schemas.openxmlformats.org/drawingml/2006/chartDrawing">
    <cdr:from>
      <cdr:x>0.2731</cdr:x>
      <cdr:y>0.67664</cdr:y>
    </cdr:from>
    <cdr:to>
      <cdr:x>0.30772</cdr:x>
      <cdr:y>0.73198</cdr:y>
    </cdr:to>
    <cdr:sp macro="" textlink="">
      <cdr:nvSpPr>
        <cdr:cNvPr id="4" name="TextBox 1"/>
        <cdr:cNvSpPr txBox="1"/>
      </cdr:nvSpPr>
      <cdr:spPr>
        <a:xfrm xmlns:a="http://schemas.openxmlformats.org/drawingml/2006/main">
          <a:off x="1368916" y="2322254"/>
          <a:ext cx="173586" cy="1899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LCDIV=2</a:t>
          </a:r>
        </a:p>
      </cdr:txBody>
    </cdr:sp>
  </cdr:relSizeAnchor>
  <cdr:relSizeAnchor xmlns:cdr="http://schemas.openxmlformats.org/drawingml/2006/chartDrawing">
    <cdr:from>
      <cdr:x>0.31558</cdr:x>
      <cdr:y>0.58937</cdr:y>
    </cdr:from>
    <cdr:to>
      <cdr:x>0.35021</cdr:x>
      <cdr:y>0.64471</cdr:y>
    </cdr:to>
    <cdr:sp macro="" textlink="">
      <cdr:nvSpPr>
        <cdr:cNvPr id="5" name="TextBox 1"/>
        <cdr:cNvSpPr txBox="1"/>
      </cdr:nvSpPr>
      <cdr:spPr>
        <a:xfrm xmlns:a="http://schemas.openxmlformats.org/drawingml/2006/main">
          <a:off x="1581857" y="2022762"/>
          <a:ext cx="173586" cy="1899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a:t>
          </a:r>
          <a:r>
            <a:rPr lang="en-US" sz="1200" b="1"/>
            <a:t> </a:t>
          </a:r>
          <a:r>
            <a:rPr lang="en-US" sz="900" b="1"/>
            <a:t>=3</a:t>
          </a:r>
          <a:endParaRPr lang="en-US" sz="1200" b="1"/>
        </a:p>
      </cdr:txBody>
    </cdr:sp>
  </cdr:relSizeAnchor>
  <cdr:relSizeAnchor xmlns:cdr="http://schemas.openxmlformats.org/drawingml/2006/chartDrawing">
    <cdr:from>
      <cdr:x>0.39412</cdr:x>
      <cdr:y>0.4784</cdr:y>
    </cdr:from>
    <cdr:to>
      <cdr:x>0.42874</cdr:x>
      <cdr:y>0.53374</cdr:y>
    </cdr:to>
    <cdr:sp macro="" textlink="">
      <cdr:nvSpPr>
        <cdr:cNvPr id="6" name="TextBox 1"/>
        <cdr:cNvSpPr txBox="1"/>
      </cdr:nvSpPr>
      <cdr:spPr>
        <a:xfrm xmlns:a="http://schemas.openxmlformats.org/drawingml/2006/main">
          <a:off x="2770716" y="2199216"/>
          <a:ext cx="243416" cy="254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LCDIV=4</a:t>
          </a:r>
        </a:p>
      </cdr:txBody>
    </cdr:sp>
  </cdr:relSizeAnchor>
  <cdr:relSizeAnchor xmlns:cdr="http://schemas.openxmlformats.org/drawingml/2006/chartDrawing">
    <cdr:from>
      <cdr:x>0.54466</cdr:x>
      <cdr:y>0.35638</cdr:y>
    </cdr:from>
    <cdr:to>
      <cdr:x>0.57928</cdr:x>
      <cdr:y>0.41172</cdr:y>
    </cdr:to>
    <cdr:sp macro="" textlink="">
      <cdr:nvSpPr>
        <cdr:cNvPr id="7" name="TextBox 1"/>
        <cdr:cNvSpPr txBox="1"/>
      </cdr:nvSpPr>
      <cdr:spPr>
        <a:xfrm xmlns:a="http://schemas.openxmlformats.org/drawingml/2006/main">
          <a:off x="3829051" y="1638300"/>
          <a:ext cx="243416" cy="254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LCDIV=5</a:t>
          </a:r>
        </a:p>
      </cdr:txBody>
    </cdr:sp>
  </cdr:relSizeAnchor>
  <cdr:relSizeAnchor xmlns:cdr="http://schemas.openxmlformats.org/drawingml/2006/chartDrawing">
    <cdr:from>
      <cdr:x>0.73283</cdr:x>
      <cdr:y>0.1653</cdr:y>
    </cdr:from>
    <cdr:to>
      <cdr:x>0.76746</cdr:x>
      <cdr:y>0.22064</cdr:y>
    </cdr:to>
    <cdr:sp macro="" textlink="">
      <cdr:nvSpPr>
        <cdr:cNvPr id="8" name="TextBox 1"/>
        <cdr:cNvSpPr txBox="1"/>
      </cdr:nvSpPr>
      <cdr:spPr>
        <a:xfrm xmlns:a="http://schemas.openxmlformats.org/drawingml/2006/main">
          <a:off x="5151967" y="759883"/>
          <a:ext cx="243416" cy="254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t>LCDIV=6</a:t>
          </a:r>
          <a:endParaRPr lang="en-US" sz="1100" b="1"/>
        </a:p>
      </cdr:txBody>
    </cdr:sp>
  </cdr:relSizeAnchor>
  <cdr:relSizeAnchor xmlns:cdr="http://schemas.openxmlformats.org/drawingml/2006/chartDrawing">
    <cdr:from>
      <cdr:x>0.90595</cdr:x>
      <cdr:y>0.02717</cdr:y>
    </cdr:from>
    <cdr:to>
      <cdr:x>0.94058</cdr:x>
      <cdr:y>0.0825</cdr:y>
    </cdr:to>
    <cdr:sp macro="" textlink="">
      <cdr:nvSpPr>
        <cdr:cNvPr id="9" name="TextBox 1"/>
        <cdr:cNvSpPr txBox="1"/>
      </cdr:nvSpPr>
      <cdr:spPr>
        <a:xfrm xmlns:a="http://schemas.openxmlformats.org/drawingml/2006/main">
          <a:off x="6369050" y="124884"/>
          <a:ext cx="243416" cy="2543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7</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0</xdr:colOff>
      <xdr:row>64</xdr:row>
      <xdr:rowOff>0</xdr:rowOff>
    </xdr:from>
    <xdr:to>
      <xdr:col>6</xdr:col>
      <xdr:colOff>428625</xdr:colOff>
      <xdr:row>65</xdr:row>
      <xdr:rowOff>85725</xdr:rowOff>
    </xdr:to>
    <xdr:pic>
      <xdr:nvPicPr>
        <xdr:cNvPr id="10" name="Picture 9"/>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3924300"/>
          <a:ext cx="19812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52</xdr:row>
      <xdr:rowOff>66677</xdr:rowOff>
    </xdr:from>
    <xdr:to>
      <xdr:col>4</xdr:col>
      <xdr:colOff>123823</xdr:colOff>
      <xdr:row>87</xdr:row>
      <xdr:rowOff>51289</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247650</xdr:colOff>
      <xdr:row>52</xdr:row>
      <xdr:rowOff>47625</xdr:rowOff>
    </xdr:from>
    <xdr:to>
      <xdr:col>6</xdr:col>
      <xdr:colOff>28575</xdr:colOff>
      <xdr:row>89</xdr:row>
      <xdr:rowOff>38100</xdr:rowOff>
    </xdr:to>
    <xdr:graphicFrame macro="">
      <xdr:nvGraphicFramePr>
        <xdr:cNvPr id="3"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691087</xdr:colOff>
      <xdr:row>89</xdr:row>
      <xdr:rowOff>19050</xdr:rowOff>
    </xdr:from>
    <xdr:to>
      <xdr:col>2</xdr:col>
      <xdr:colOff>484902</xdr:colOff>
      <xdr:row>91</xdr:row>
      <xdr:rowOff>161143</xdr:rowOff>
    </xdr:to>
    <xdr:pic>
      <xdr:nvPicPr>
        <xdr:cNvPr id="4" name="Picture 3"/>
        <xdr:cNvPicPr>
          <a:picLocks noChangeAspect="1"/>
        </xdr:cNvPicPr>
      </xdr:nvPicPr>
      <xdr:blipFill>
        <a:blip xmlns:r="http://schemas.openxmlformats.org/officeDocument/2006/relationships" r:embed="rId4"/>
        <a:stretch>
          <a:fillRect/>
        </a:stretch>
      </xdr:blipFill>
      <xdr:spPr>
        <a:xfrm>
          <a:off x="1300687" y="8267700"/>
          <a:ext cx="2279840" cy="2037568"/>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0.16765</cdr:x>
      <cdr:y>0.73491</cdr:y>
    </cdr:from>
    <cdr:to>
      <cdr:x>0.44389</cdr:x>
      <cdr:y>0.79925</cdr:y>
    </cdr:to>
    <cdr:sp macro="" textlink="">
      <cdr:nvSpPr>
        <cdr:cNvPr id="3" name="TextBox 1"/>
        <cdr:cNvSpPr txBox="1"/>
      </cdr:nvSpPr>
      <cdr:spPr>
        <a:xfrm xmlns:a="http://schemas.openxmlformats.org/drawingml/2006/main">
          <a:off x="623510" y="1838323"/>
          <a:ext cx="1027373" cy="160929"/>
        </a:xfrm>
        <a:prstGeom xmlns:a="http://schemas.openxmlformats.org/drawingml/2006/main" prst="rect">
          <a:avLst/>
        </a:prstGeom>
        <a:noFill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solidFill>
              <a:effectLst/>
              <a:latin typeface="+mn-lt"/>
              <a:ea typeface="+mn-ea"/>
              <a:cs typeface="+mn-cs"/>
            </a:rPr>
            <a:t>i</a:t>
          </a:r>
          <a:r>
            <a:rPr lang="en-US" sz="1000" baseline="-25000">
              <a:solidFill>
                <a:schemeClr val="bg1"/>
              </a:solidFill>
              <a:effectLst/>
              <a:latin typeface="+mn-lt"/>
              <a:ea typeface="+mn-ea"/>
              <a:cs typeface="+mn-cs"/>
            </a:rPr>
            <a:t>SENSOR</a:t>
          </a:r>
          <a:r>
            <a:rPr lang="en-US" sz="900" baseline="-25000">
              <a:solidFill>
                <a:schemeClr val="bg1"/>
              </a:solidFill>
              <a:effectLst/>
              <a:latin typeface="+mn-lt"/>
              <a:ea typeface="+mn-ea"/>
              <a:cs typeface="+mn-cs"/>
            </a:rPr>
            <a:t>  </a:t>
          </a:r>
          <a:r>
            <a:rPr lang="en-US" sz="900" baseline="0">
              <a:solidFill>
                <a:schemeClr val="bg1"/>
              </a:solidFill>
              <a:effectLst/>
              <a:latin typeface="+mn-lt"/>
              <a:ea typeface="+mn-ea"/>
              <a:cs typeface="+mn-cs"/>
            </a:rPr>
            <a:t>limitation</a:t>
          </a:r>
          <a:endParaRPr lang="en-US" sz="500">
            <a:solidFill>
              <a:schemeClr val="bg1"/>
            </a:solidFill>
            <a:effectLst/>
          </a:endParaRPr>
        </a:p>
      </cdr:txBody>
    </cdr:sp>
  </cdr:relSizeAnchor>
  <cdr:relSizeAnchor xmlns:cdr="http://schemas.openxmlformats.org/drawingml/2006/chartDrawing">
    <cdr:from>
      <cdr:x>0.62446</cdr:x>
      <cdr:y>0.08257</cdr:y>
    </cdr:from>
    <cdr:to>
      <cdr:x>0.87734</cdr:x>
      <cdr:y>0.17293</cdr:y>
    </cdr:to>
    <cdr:sp macro="" textlink="">
      <cdr:nvSpPr>
        <cdr:cNvPr id="4" name="TextBox 1"/>
        <cdr:cNvSpPr txBox="1"/>
      </cdr:nvSpPr>
      <cdr:spPr>
        <a:xfrm xmlns:a="http://schemas.openxmlformats.org/drawingml/2006/main">
          <a:off x="2240574" y="206534"/>
          <a:ext cx="907329" cy="226031"/>
        </a:xfrm>
        <a:prstGeom xmlns:a="http://schemas.openxmlformats.org/drawingml/2006/main" prst="rect">
          <a:avLst/>
        </a:prstGeom>
        <a:noFill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solidFill>
              <a:effectLst/>
              <a:latin typeface="+mn-lt"/>
              <a:ea typeface="+mn-ea"/>
              <a:cs typeface="+mn-cs"/>
            </a:rPr>
            <a:t>C</a:t>
          </a:r>
          <a:r>
            <a:rPr lang="en-US" sz="1000" baseline="-25000">
              <a:solidFill>
                <a:schemeClr val="bg1"/>
              </a:solidFill>
              <a:effectLst/>
              <a:latin typeface="+mn-lt"/>
              <a:ea typeface="+mn-ea"/>
              <a:cs typeface="+mn-cs"/>
            </a:rPr>
            <a:t>SENSOR</a:t>
          </a:r>
          <a:r>
            <a:rPr lang="en-US" sz="900">
              <a:solidFill>
                <a:schemeClr val="bg1"/>
              </a:solidFill>
              <a:effectLst/>
              <a:latin typeface="+mn-lt"/>
              <a:ea typeface="+mn-ea"/>
              <a:cs typeface="+mn-cs"/>
            </a:rPr>
            <a:t> &lt; 33pF</a:t>
          </a:r>
          <a:endParaRPr lang="en-US" sz="500">
            <a:solidFill>
              <a:schemeClr val="bg1"/>
            </a:solidFill>
            <a:effectLs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0.29406</cdr:x>
      <cdr:y>0.12373</cdr:y>
    </cdr:from>
    <cdr:to>
      <cdr:x>0.46627</cdr:x>
      <cdr:y>0.21905</cdr:y>
    </cdr:to>
    <cdr:sp macro="" textlink="LDC0851_calc!$P$102">
      <cdr:nvSpPr>
        <cdr:cNvPr id="2" name="TextBox 1"/>
        <cdr:cNvSpPr txBox="1"/>
      </cdr:nvSpPr>
      <cdr:spPr>
        <a:xfrm xmlns:a="http://schemas.openxmlformats.org/drawingml/2006/main">
          <a:off x="1025391" y="311830"/>
          <a:ext cx="600485" cy="24019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fld id="{5B48F798-1BEA-4B3E-859F-099BFAFA81BC}" type="TxLink">
            <a:rPr lang="en-US" sz="1100" b="0" i="0" u="none" strike="noStrike">
              <a:solidFill>
                <a:srgbClr val="000000"/>
              </a:solidFill>
              <a:latin typeface="Calibri"/>
            </a:rPr>
            <a:pPr/>
            <a:t>10mm</a:t>
          </a:fld>
          <a:endParaRPr lang="en-US" sz="1100"/>
        </a:p>
      </cdr:txBody>
    </cdr:sp>
  </cdr:relSizeAnchor>
  <cdr:relSizeAnchor xmlns:cdr="http://schemas.openxmlformats.org/drawingml/2006/chartDrawing">
    <cdr:from>
      <cdr:x>0.16754</cdr:x>
      <cdr:y>0.11465</cdr:y>
    </cdr:from>
    <cdr:to>
      <cdr:x>0.3215</cdr:x>
      <cdr:y>0.20996</cdr:y>
    </cdr:to>
    <cdr:sp macro="" textlink="">
      <cdr:nvSpPr>
        <cdr:cNvPr id="3" name="TextBox 1"/>
        <cdr:cNvSpPr txBox="1"/>
      </cdr:nvSpPr>
      <cdr:spPr>
        <a:xfrm xmlns:a="http://schemas.openxmlformats.org/drawingml/2006/main">
          <a:off x="584201" y="288925"/>
          <a:ext cx="536852" cy="2401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i="0" u="none" strike="noStrike">
              <a:solidFill>
                <a:srgbClr val="000000"/>
              </a:solidFill>
              <a:latin typeface="Calibri"/>
            </a:rPr>
            <a:t>d</a:t>
          </a:r>
          <a:r>
            <a:rPr lang="en-US" sz="1100" b="0" i="0" u="none" strike="noStrike" baseline="-25000">
              <a:solidFill>
                <a:srgbClr val="000000"/>
              </a:solidFill>
              <a:latin typeface="Calibri"/>
            </a:rPr>
            <a:t>COIL</a:t>
          </a:r>
          <a:r>
            <a:rPr lang="en-US" sz="1100" b="0" i="0" u="none" strike="noStrike">
              <a:solidFill>
                <a:srgbClr val="000000"/>
              </a:solidFill>
              <a:latin typeface="Calibri"/>
            </a:rPr>
            <a:t>=</a:t>
          </a:r>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6</xdr:col>
      <xdr:colOff>95250</xdr:colOff>
      <xdr:row>8</xdr:row>
      <xdr:rowOff>38100</xdr:rowOff>
    </xdr:from>
    <xdr:to>
      <xdr:col>11</xdr:col>
      <xdr:colOff>400050</xdr:colOff>
      <xdr:row>21</xdr:row>
      <xdr:rowOff>171450</xdr:rowOff>
    </xdr:to>
    <xdr:pic>
      <xdr:nvPicPr>
        <xdr:cNvPr id="3" name="Picture 2" descr="Skin Dep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8625" y="1657350"/>
          <a:ext cx="3514725"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47625</xdr:colOff>
      <xdr:row>42</xdr:row>
      <xdr:rowOff>0</xdr:rowOff>
    </xdr:from>
    <xdr:to>
      <xdr:col>9</xdr:col>
      <xdr:colOff>457200</xdr:colOff>
      <xdr:row>46</xdr:row>
      <xdr:rowOff>70520</xdr:rowOff>
    </xdr:to>
    <xdr:pic>
      <xdr:nvPicPr>
        <xdr:cNvPr id="3" name="Picture 2"/>
        <xdr:cNvPicPr>
          <a:picLocks noChangeAspect="1"/>
        </xdr:cNvPicPr>
      </xdr:nvPicPr>
      <xdr:blipFill>
        <a:blip xmlns:r="http://schemas.openxmlformats.org/officeDocument/2006/relationships" r:embed="rId1"/>
        <a:stretch>
          <a:fillRect/>
        </a:stretch>
      </xdr:blipFill>
      <xdr:spPr>
        <a:xfrm>
          <a:off x="4238625" y="7524750"/>
          <a:ext cx="3676650" cy="8420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285750</xdr:colOff>
          <xdr:row>13</xdr:row>
          <xdr:rowOff>31750</xdr:rowOff>
        </xdr:from>
        <xdr:to>
          <xdr:col>8</xdr:col>
          <xdr:colOff>152400</xdr:colOff>
          <xdr:row>31</xdr:row>
          <xdr:rowOff>165100</xdr:rowOff>
        </xdr:to>
        <xdr:sp macro="" textlink="">
          <xdr:nvSpPr>
            <xdr:cNvPr id="8197" name="Object 5" hidden="1">
              <a:extLst>
                <a:ext uri="{63B3BB69-23CF-44E3-9099-C40C66FF867C}">
                  <a14:compatExt spid="_x0000_s81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482600</xdr:colOff>
          <xdr:row>3</xdr:row>
          <xdr:rowOff>177800</xdr:rowOff>
        </xdr:from>
        <xdr:to>
          <xdr:col>12</xdr:col>
          <xdr:colOff>25400</xdr:colOff>
          <xdr:row>21</xdr:row>
          <xdr:rowOff>184150</xdr:rowOff>
        </xdr:to>
        <xdr:sp macro="" textlink="">
          <xdr:nvSpPr>
            <xdr:cNvPr id="67585" name="Object 1" hidden="1">
              <a:extLst>
                <a:ext uri="{63B3BB69-23CF-44E3-9099-C40C66FF867C}">
                  <a14:compatExt spid="_x0000_s675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54964</xdr:colOff>
      <xdr:row>48</xdr:row>
      <xdr:rowOff>113447</xdr:rowOff>
    </xdr:from>
    <xdr:to>
      <xdr:col>4</xdr:col>
      <xdr:colOff>1065093</xdr:colOff>
      <xdr:row>155</xdr:row>
      <xdr:rowOff>55176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2e.ti.com/blogs_/b/analogwire/archive/2016/11/10/how-to-use-the-ldc-calculations-tool" TargetMode="External"/><Relationship Id="rId1" Type="http://schemas.openxmlformats.org/officeDocument/2006/relationships/hyperlink" Target="http://e2e.ti.com/support/sensor/inductive-sensing/"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ti.com/lit/an/snoa949/snoa949.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e2e.ti.com/blogs_/b/analogwire/archive/2014/06/10/inductive-sensing-how-to-use-a-tiny-2mm-pcb-inductor-as-a-sensor" TargetMode="External"/><Relationship Id="rId6" Type="http://schemas.openxmlformats.org/officeDocument/2006/relationships/image" Target="../media/image7.emf"/><Relationship Id="rId5" Type="http://schemas.openxmlformats.org/officeDocument/2006/relationships/oleObject" Target="../embeddings/oleObject2.bin"/><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image" Target="../media/image9.emf"/><Relationship Id="rId4"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2e.ti.com/blogs_/b/analogwire/archive/2016/11/29/how-you-can-use-the-ldc-racetrack-inductor-designer-tool"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B2:H44"/>
  <sheetViews>
    <sheetView showGridLines="0" showRowColHeaders="0" tabSelected="1" zoomScaleNormal="100" workbookViewId="0"/>
  </sheetViews>
  <sheetFormatPr defaultColWidth="9.1796875" defaultRowHeight="14.5" x14ac:dyDescent="0.35"/>
  <cols>
    <col min="1" max="1" width="9.1796875" style="2"/>
    <col min="2" max="2" width="5.1796875" style="2" customWidth="1"/>
    <col min="3" max="3" width="23" style="2" customWidth="1"/>
    <col min="4" max="4" width="9.54296875" style="2" bestFit="1" customWidth="1"/>
    <col min="5" max="7" width="9.1796875" style="2"/>
    <col min="8" max="8" width="27.1796875" style="2" customWidth="1"/>
    <col min="9" max="16384" width="9.1796875" style="2"/>
  </cols>
  <sheetData>
    <row r="2" spans="2:7" ht="18.5" x14ac:dyDescent="0.45">
      <c r="B2" s="186" t="s">
        <v>106</v>
      </c>
      <c r="E2" s="2" t="s">
        <v>847</v>
      </c>
    </row>
    <row r="3" spans="2:7" ht="37.5" customHeight="1" x14ac:dyDescent="0.35">
      <c r="B3" s="581" t="s">
        <v>640</v>
      </c>
      <c r="C3" s="582"/>
      <c r="D3" s="582"/>
      <c r="E3" s="582"/>
      <c r="F3" s="582"/>
      <c r="G3" s="582"/>
    </row>
    <row r="4" spans="2:7" ht="17" customHeight="1" x14ac:dyDescent="0.35">
      <c r="B4" s="475"/>
      <c r="C4" s="478" t="s">
        <v>743</v>
      </c>
      <c r="D4" s="477" t="s">
        <v>742</v>
      </c>
      <c r="E4" s="476"/>
      <c r="F4" s="476"/>
      <c r="G4" s="476"/>
    </row>
    <row r="5" spans="2:7" ht="32" customHeight="1" x14ac:dyDescent="0.35">
      <c r="B5" s="483"/>
      <c r="C5" s="486" t="s">
        <v>748</v>
      </c>
      <c r="D5" s="477" t="s">
        <v>749</v>
      </c>
      <c r="E5" s="484"/>
      <c r="F5" s="484"/>
      <c r="G5" s="484"/>
    </row>
    <row r="6" spans="2:7" ht="13" customHeight="1" x14ac:dyDescent="0.35">
      <c r="B6" s="475"/>
      <c r="C6" s="476"/>
      <c r="D6" s="476"/>
      <c r="E6" s="476"/>
      <c r="F6" s="476"/>
      <c r="G6" s="476"/>
    </row>
    <row r="7" spans="2:7" x14ac:dyDescent="0.35">
      <c r="B7" s="2" t="s">
        <v>293</v>
      </c>
    </row>
    <row r="8" spans="2:7" ht="8.25" customHeight="1" x14ac:dyDescent="0.35"/>
    <row r="9" spans="2:7" ht="15.5" x14ac:dyDescent="0.35">
      <c r="C9" s="187" t="s">
        <v>741</v>
      </c>
      <c r="E9" s="448" t="str">
        <f ca="1">IF(TODAY()&lt;DATEVALUE("4/30/2017"),"Updated!","")</f>
        <v>Updated!</v>
      </c>
    </row>
    <row r="10" spans="2:7" x14ac:dyDescent="0.35">
      <c r="C10" s="187" t="s">
        <v>299</v>
      </c>
    </row>
    <row r="11" spans="2:7" x14ac:dyDescent="0.35">
      <c r="C11" s="187" t="s">
        <v>289</v>
      </c>
    </row>
    <row r="12" spans="2:7" x14ac:dyDescent="0.35">
      <c r="C12" s="187" t="s">
        <v>170</v>
      </c>
    </row>
    <row r="13" spans="2:7" x14ac:dyDescent="0.35">
      <c r="C13" s="187" t="s">
        <v>268</v>
      </c>
    </row>
    <row r="14" spans="2:7" x14ac:dyDescent="0.35">
      <c r="C14" s="187" t="s">
        <v>439</v>
      </c>
    </row>
    <row r="15" spans="2:7" x14ac:dyDescent="0.35">
      <c r="C15" s="187" t="s">
        <v>107</v>
      </c>
    </row>
    <row r="16" spans="2:7" x14ac:dyDescent="0.35">
      <c r="C16" s="187" t="s">
        <v>496</v>
      </c>
      <c r="D16" s="194"/>
    </row>
    <row r="17" spans="3:8" ht="15.5" x14ac:dyDescent="0.35">
      <c r="C17" s="187" t="s">
        <v>846</v>
      </c>
      <c r="E17" s="448" t="str">
        <f ca="1">IF(TODAY()&lt;DATEVALUE("4/30/2017"),"Updated!","")</f>
        <v>Updated!</v>
      </c>
    </row>
    <row r="18" spans="3:8" x14ac:dyDescent="0.35">
      <c r="C18" s="187" t="s">
        <v>357</v>
      </c>
    </row>
    <row r="19" spans="3:8" ht="15.5" x14ac:dyDescent="0.35">
      <c r="C19" s="187" t="s">
        <v>658</v>
      </c>
      <c r="E19" s="448" t="str">
        <f ca="1">IF(TODAY()&lt;DATEVALUE("4/30/2017"),"NEW!","")</f>
        <v>NEW!</v>
      </c>
      <c r="H19" s="447"/>
    </row>
    <row r="20" spans="3:8" ht="15.5" x14ac:dyDescent="0.35">
      <c r="C20" s="187" t="s">
        <v>740</v>
      </c>
      <c r="D20" s="194"/>
      <c r="E20" s="448" t="str">
        <f ca="1">IF(TODAY()&lt;DATEVALUE("4/30/2017"),"NEW!","")</f>
        <v>NEW!</v>
      </c>
    </row>
    <row r="22" spans="3:8" ht="15.5" x14ac:dyDescent="0.35">
      <c r="C22" s="308" t="s">
        <v>294</v>
      </c>
      <c r="D22" s="272"/>
      <c r="E22" s="272"/>
    </row>
    <row r="23" spans="3:8" x14ac:dyDescent="0.35">
      <c r="C23" s="203" t="str">
        <f>IF(C25="L","fsensor","L")</f>
        <v>L</v>
      </c>
      <c r="D23" s="48">
        <v>2.2000000000000002</v>
      </c>
      <c r="E23" s="309" t="str">
        <f>IF(C23="fsensor","MHz","µH")</f>
        <v>µH</v>
      </c>
    </row>
    <row r="24" spans="3:8" x14ac:dyDescent="0.35">
      <c r="C24" s="203" t="str">
        <f>IF(C25="C","fsensor","C")</f>
        <v>fsensor</v>
      </c>
      <c r="D24" s="48">
        <v>8.4</v>
      </c>
      <c r="E24" s="310" t="str">
        <f>IF(C24="fsensor","MHz","pF")</f>
        <v>MHz</v>
      </c>
    </row>
    <row r="25" spans="3:8" x14ac:dyDescent="0.35">
      <c r="C25" s="47" t="s">
        <v>26</v>
      </c>
      <c r="D25" s="311">
        <f>IF(C25="fsensor",0.000001/(2*PI()*SQRT(D23*0.000001*D24*0.000000000001)),IF(C25="C",1000000000000/((D23*0.000001)*(2*PI()*D24*1000000)^2),1000000/((D24*0.000000000001)*(2*PI()*D23*1000000)^2)))</f>
        <v>163.17702477958437</v>
      </c>
      <c r="E25" s="203" t="str">
        <f>IF(C25="fsensor","MHz",IF(C25="L","µH","pF"))</f>
        <v>pF</v>
      </c>
    </row>
    <row r="26" spans="3:8" x14ac:dyDescent="0.35">
      <c r="C26" s="312"/>
    </row>
    <row r="27" spans="3:8" ht="15.5" x14ac:dyDescent="0.35">
      <c r="C27" s="308" t="s">
        <v>298</v>
      </c>
    </row>
    <row r="28" spans="3:8" x14ac:dyDescent="0.35">
      <c r="C28" s="313" t="s">
        <v>81</v>
      </c>
      <c r="D28" s="184">
        <v>3</v>
      </c>
      <c r="E28" s="314" t="s">
        <v>109</v>
      </c>
    </row>
    <row r="29" spans="3:8" x14ac:dyDescent="0.35">
      <c r="C29" s="313" t="s">
        <v>26</v>
      </c>
      <c r="D29" s="184">
        <v>100</v>
      </c>
      <c r="E29" s="203" t="s">
        <v>27</v>
      </c>
    </row>
    <row r="30" spans="3:8" x14ac:dyDescent="0.35">
      <c r="C30" s="313" t="str">
        <f>IF(C31="Rp","Rs","Rp")</f>
        <v>Rs</v>
      </c>
      <c r="D30" s="184">
        <v>5</v>
      </c>
      <c r="E30" s="314" t="str">
        <f>IF(C31="Rp","Ω","kΩ")</f>
        <v>Ω</v>
      </c>
    </row>
    <row r="31" spans="3:8" x14ac:dyDescent="0.35">
      <c r="C31" s="307" t="s">
        <v>93</v>
      </c>
      <c r="D31" s="315">
        <f>1000/D30*D28/D29</f>
        <v>6</v>
      </c>
      <c r="E31" s="203" t="str">
        <f>IF(C31="Rp","kΩ","Ω")</f>
        <v>kΩ</v>
      </c>
    </row>
    <row r="32" spans="3:8" x14ac:dyDescent="0.35">
      <c r="C32" s="313" t="s">
        <v>241</v>
      </c>
      <c r="D32" s="202">
        <f>(0.000001/(2*PI()*SQRT(D28*0.000001*D29*0.000000000001)))</f>
        <v>9.1888149236965333</v>
      </c>
      <c r="E32" s="203" t="s">
        <v>0</v>
      </c>
    </row>
    <row r="33" spans="2:8" x14ac:dyDescent="0.35">
      <c r="C33" s="313" t="s">
        <v>95</v>
      </c>
      <c r="D33" s="204">
        <f>IF(C31="Rs",(1000/D31)*SQRT(D28/D29),(1000/D30)*SQRT(D28/D29))</f>
        <v>34.641016151377549</v>
      </c>
      <c r="E33" s="316"/>
    </row>
    <row r="35" spans="2:8" ht="15.5" x14ac:dyDescent="0.35">
      <c r="B35" s="1"/>
      <c r="C35" s="317" t="s">
        <v>291</v>
      </c>
    </row>
    <row r="36" spans="2:8" ht="43.5" x14ac:dyDescent="0.35">
      <c r="C36" s="318" t="s">
        <v>318</v>
      </c>
    </row>
    <row r="37" spans="2:8" ht="43.5" x14ac:dyDescent="0.35">
      <c r="C37" s="319" t="s">
        <v>319</v>
      </c>
    </row>
    <row r="38" spans="2:8" ht="29" x14ac:dyDescent="0.35">
      <c r="C38" s="320" t="s">
        <v>320</v>
      </c>
    </row>
    <row r="41" spans="2:8" x14ac:dyDescent="0.35">
      <c r="H41" s="321"/>
    </row>
    <row r="42" spans="2:8" x14ac:dyDescent="0.35">
      <c r="H42" s="321"/>
    </row>
    <row r="43" spans="2:8" x14ac:dyDescent="0.35">
      <c r="H43" s="321"/>
    </row>
    <row r="44" spans="2:8" x14ac:dyDescent="0.35">
      <c r="H44" s="253"/>
    </row>
  </sheetData>
  <sheetProtection sheet="1" objects="1" scenarios="1"/>
  <mergeCells count="1">
    <mergeCell ref="B3:G3"/>
  </mergeCells>
  <dataValidations disablePrompts="1" count="5">
    <dataValidation type="list" allowBlank="1" showInputMessage="1" showErrorMessage="1" sqref="C25">
      <formula1>"fsensor,L,C"</formula1>
    </dataValidation>
    <dataValidation type="list" allowBlank="1" showInputMessage="1" showErrorMessage="1" sqref="C31">
      <formula1>"Rs,Rp"</formula1>
    </dataValidation>
    <dataValidation type="decimal" operator="greaterThan" allowBlank="1" showInputMessage="1" showErrorMessage="1" sqref="D28:D30">
      <formula1>0</formula1>
    </dataValidation>
    <dataValidation type="decimal" errorStyle="warning" allowBlank="1" showInputMessage="1" showErrorMessage="1" errorTitle="Extreme Value" error="Please verify the value is correct, note the units are μH, pF, and MHz." sqref="D23:D24">
      <formula1>0.001</formula1>
      <formula2>1000000</formula2>
    </dataValidation>
    <dataValidation allowBlank="1" showDropDown="1" showInputMessage="1" showErrorMessage="1" sqref="C32"/>
  </dataValidations>
  <hyperlinks>
    <hyperlink ref="C9" location="Spiral_Inductor_Designer!A1" display="Spiral Inductor Designer"/>
    <hyperlink ref="C18" location="'Spring Sensor'!A1" display="Spring Sensor Calculator Tool"/>
    <hyperlink ref="C15" location="'Remote Coil Length'!A1" display="Remote Coil Maximum Distance Calculator"/>
    <hyperlink ref="C11" location="'Output Code Calculator'!A1" display="Inductance&amp;Frequency from Output Code"/>
    <hyperlink ref="C12" location="SkinDepth!A1" display="Skin Depth Calculation"/>
    <hyperlink ref="C13" location="LDC131x_Current!A1" display="LDC161x/LDC131x Current Consumption Estimator"/>
    <hyperlink ref="C10" location="SampleRateCalc!A1" display="Sample Rate Calculator"/>
    <hyperlink ref="C17" location="LDC1101_Calc!A1" display="LDC1101 Calc"/>
    <hyperlink ref="C14" location="'LDC13-16_SensorSetup'!A1" display="LDC131x/LDC161x Sensor Configuration"/>
    <hyperlink ref="C16" location="LDC0851_calc!A1" display="LDC0851 Calculator Tool"/>
    <hyperlink ref="C19" location="LDC2114_Config_tool!A1" display="LDC2114 Config Tool"/>
    <hyperlink ref="C20" location="Metal_Deflection!A1" display="Metal Deflection Calculator"/>
    <hyperlink ref="D4" r:id="rId1"/>
    <hyperlink ref="D5"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sheetPr>
  <dimension ref="B2:F44"/>
  <sheetViews>
    <sheetView showGridLines="0" showRowColHeaders="0" workbookViewId="0">
      <selection activeCell="J47" sqref="J47"/>
    </sheetView>
  </sheetViews>
  <sheetFormatPr defaultRowHeight="14.5" x14ac:dyDescent="0.35"/>
  <cols>
    <col min="1" max="2" width="5.7265625" customWidth="1"/>
    <col min="3" max="3" width="37" customWidth="1"/>
    <col min="4" max="4" width="12.54296875" customWidth="1"/>
    <col min="5" max="5" width="9.26953125" customWidth="1"/>
    <col min="6" max="6" width="12" bestFit="1" customWidth="1"/>
  </cols>
  <sheetData>
    <row r="2" spans="2:6" ht="18.5" x14ac:dyDescent="0.45">
      <c r="B2" s="4" t="s">
        <v>268</v>
      </c>
      <c r="C2" s="4"/>
      <c r="E2" s="21" t="s">
        <v>211</v>
      </c>
    </row>
    <row r="3" spans="2:6" ht="15.5" x14ac:dyDescent="0.35">
      <c r="B3" s="10"/>
      <c r="C3" s="10" t="s">
        <v>263</v>
      </c>
      <c r="D3" s="63"/>
      <c r="E3" s="59"/>
    </row>
    <row r="4" spans="2:6" ht="15.5" x14ac:dyDescent="0.35">
      <c r="B4" s="10"/>
      <c r="C4" s="10" t="s">
        <v>444</v>
      </c>
      <c r="D4" s="63"/>
      <c r="E4" s="59"/>
    </row>
    <row r="5" spans="2:6" x14ac:dyDescent="0.35">
      <c r="B5" s="10"/>
      <c r="C5" s="482" t="s">
        <v>744</v>
      </c>
      <c r="D5" s="481" t="s">
        <v>745</v>
      </c>
      <c r="E5" s="59"/>
    </row>
    <row r="6" spans="2:6" ht="15.5" x14ac:dyDescent="0.35">
      <c r="B6" s="10"/>
      <c r="C6" s="10"/>
      <c r="D6" s="63"/>
      <c r="E6" s="59"/>
    </row>
    <row r="7" spans="2:6" ht="16.5" x14ac:dyDescent="0.45">
      <c r="B7" s="10"/>
      <c r="C7" s="12" t="s">
        <v>406</v>
      </c>
      <c r="D7" s="184">
        <v>40</v>
      </c>
      <c r="E7" s="6" t="s">
        <v>0</v>
      </c>
    </row>
    <row r="8" spans="2:6" ht="15.5" x14ac:dyDescent="0.35">
      <c r="B8" s="10"/>
      <c r="C8" s="159" t="str">
        <f>IF(E8="hex","RCOUNT Setting (range:0x0003 to 0xFFFF)","RCOUNT Setting (range:3 to 65535)")</f>
        <v>RCOUNT Setting (range:0x0003 to 0xFFFF)</v>
      </c>
      <c r="D8" s="337">
        <v>3</v>
      </c>
      <c r="E8" s="338" t="s">
        <v>410</v>
      </c>
      <c r="F8" s="76" t="str">
        <f>IF(D9&lt;3,"Invalid RCOUNT Setting",IF(D9&gt;65535,"Invalid RCOUNT setting",""))</f>
        <v/>
      </c>
    </row>
    <row r="9" spans="2:6" hidden="1" x14ac:dyDescent="0.35">
      <c r="B9" s="10"/>
      <c r="C9" s="159" t="s">
        <v>425</v>
      </c>
      <c r="D9" s="339">
        <f>IF(E8="hex",HEX2DEC(D8),D8)</f>
        <v>3</v>
      </c>
      <c r="E9" s="6"/>
    </row>
    <row r="10" spans="2:6" x14ac:dyDescent="0.35">
      <c r="B10" s="10"/>
      <c r="C10" s="159" t="s">
        <v>245</v>
      </c>
      <c r="D10" s="182">
        <v>1</v>
      </c>
      <c r="E10" s="6" t="str">
        <f>IF(D39&gt;0,"sps","This Sample Rate is too high and cannot use Sleep Mode")</f>
        <v>sps</v>
      </c>
      <c r="F10" s="95"/>
    </row>
    <row r="11" spans="2:6" x14ac:dyDescent="0.35">
      <c r="B11" s="10"/>
      <c r="C11" s="159" t="s">
        <v>223</v>
      </c>
      <c r="D11" s="340">
        <v>4</v>
      </c>
      <c r="E11" s="6"/>
    </row>
    <row r="12" spans="2:6" x14ac:dyDescent="0.35">
      <c r="B12" s="10"/>
      <c r="C12" s="159" t="s">
        <v>2</v>
      </c>
      <c r="D12" s="54">
        <v>1.5</v>
      </c>
      <c r="E12" s="6" t="s">
        <v>0</v>
      </c>
    </row>
    <row r="13" spans="2:6" x14ac:dyDescent="0.35">
      <c r="B13" s="10"/>
      <c r="C13" s="159" t="s">
        <v>246</v>
      </c>
      <c r="D13" s="340">
        <v>20</v>
      </c>
      <c r="E13" s="6"/>
    </row>
    <row r="14" spans="2:6" x14ac:dyDescent="0.35">
      <c r="B14" s="10"/>
      <c r="C14" s="159" t="s">
        <v>243</v>
      </c>
      <c r="D14" s="340">
        <v>400</v>
      </c>
      <c r="E14" s="6" t="s">
        <v>244</v>
      </c>
    </row>
    <row r="15" spans="2:6" x14ac:dyDescent="0.35">
      <c r="B15" s="10"/>
      <c r="C15" s="159" t="s">
        <v>256</v>
      </c>
      <c r="D15" s="340">
        <v>10</v>
      </c>
      <c r="E15" s="22" t="s">
        <v>257</v>
      </c>
    </row>
    <row r="16" spans="2:6" ht="15.75" customHeight="1" x14ac:dyDescent="0.35">
      <c r="B16" s="10"/>
      <c r="C16" s="159" t="s">
        <v>253</v>
      </c>
      <c r="D16" s="341" t="s">
        <v>413</v>
      </c>
      <c r="E16" s="6"/>
    </row>
    <row r="17" spans="2:6" ht="7.5" customHeight="1" x14ac:dyDescent="0.35">
      <c r="B17" s="10"/>
      <c r="C17" s="64"/>
      <c r="D17" s="65"/>
    </row>
    <row r="18" spans="2:6" hidden="1" x14ac:dyDescent="0.35">
      <c r="B18" s="10"/>
      <c r="C18" s="64" t="s">
        <v>267</v>
      </c>
      <c r="D18" s="86">
        <f>((D7/D12)*D13)</f>
        <v>533.33333333333337</v>
      </c>
    </row>
    <row r="19" spans="2:6" hidden="1" x14ac:dyDescent="0.35">
      <c r="B19" s="10"/>
      <c r="C19" s="159" t="s">
        <v>747</v>
      </c>
      <c r="D19" s="160">
        <f>16*CEILING(D18/16,1)</f>
        <v>544</v>
      </c>
      <c r="E19" s="125"/>
      <c r="F19" s="27"/>
    </row>
    <row r="20" spans="2:6" x14ac:dyDescent="0.35">
      <c r="B20" s="10"/>
      <c r="C20" s="159" t="s">
        <v>441</v>
      </c>
      <c r="D20" s="161" t="str">
        <f>"0x"&amp;(DEC2HEX(D19/16))</f>
        <v>0x22</v>
      </c>
      <c r="E20" s="132" t="s">
        <v>361</v>
      </c>
      <c r="F20" s="27"/>
    </row>
    <row r="21" spans="2:6" hidden="1" x14ac:dyDescent="0.35">
      <c r="B21" s="10"/>
      <c r="C21" s="159" t="s">
        <v>264</v>
      </c>
      <c r="D21" s="162">
        <f>D19/D7</f>
        <v>13.6</v>
      </c>
      <c r="E21" s="20" t="s">
        <v>235</v>
      </c>
    </row>
    <row r="22" spans="2:6" hidden="1" x14ac:dyDescent="0.35">
      <c r="B22" s="60"/>
      <c r="C22" s="12" t="s">
        <v>247</v>
      </c>
      <c r="D22" s="163">
        <v>2</v>
      </c>
      <c r="E22" t="s">
        <v>242</v>
      </c>
    </row>
    <row r="23" spans="2:6" hidden="1" x14ac:dyDescent="0.35">
      <c r="B23" s="60"/>
      <c r="C23" s="12" t="s">
        <v>222</v>
      </c>
      <c r="D23" s="87">
        <f>4*D11+5</f>
        <v>21</v>
      </c>
    </row>
    <row r="24" spans="2:6" hidden="1" x14ac:dyDescent="0.35">
      <c r="B24" s="60"/>
      <c r="C24" s="12" t="s">
        <v>249</v>
      </c>
      <c r="D24" s="87">
        <f>4*8+5</f>
        <v>37</v>
      </c>
    </row>
    <row r="25" spans="2:6" hidden="1" x14ac:dyDescent="0.35">
      <c r="B25" s="60"/>
      <c r="C25" s="12" t="s">
        <v>248</v>
      </c>
      <c r="D25" s="88">
        <f>D23*D24/D14</f>
        <v>1.9424999999999999</v>
      </c>
      <c r="E25" t="s">
        <v>242</v>
      </c>
    </row>
    <row r="26" spans="2:6" ht="29" hidden="1" x14ac:dyDescent="0.35">
      <c r="B26" s="60"/>
      <c r="C26" s="181" t="s">
        <v>442</v>
      </c>
      <c r="D26" s="88">
        <f>IF(D16="LDC131x",((D24+D11*D24)/D14),((D24+D11*2*D24)/D14))</f>
        <v>0.83250000000000002</v>
      </c>
      <c r="E26" t="s">
        <v>242</v>
      </c>
    </row>
    <row r="27" spans="2:6" hidden="1" x14ac:dyDescent="0.35">
      <c r="B27" s="60"/>
      <c r="C27" s="12" t="s">
        <v>254</v>
      </c>
      <c r="D27" s="88">
        <f>D25+D22</f>
        <v>3.9424999999999999</v>
      </c>
      <c r="E27" t="s">
        <v>242</v>
      </c>
    </row>
    <row r="28" spans="2:6" hidden="1" x14ac:dyDescent="0.35">
      <c r="B28" s="60"/>
      <c r="C28" s="12" t="s">
        <v>250</v>
      </c>
      <c r="D28" s="88">
        <f>16384000/(40000000/2)</f>
        <v>0.81920000000000004</v>
      </c>
      <c r="E28" t="s">
        <v>242</v>
      </c>
    </row>
    <row r="29" spans="2:6" hidden="1" x14ac:dyDescent="0.35">
      <c r="B29" s="18"/>
      <c r="C29" s="12" t="s">
        <v>251</v>
      </c>
      <c r="D29" s="80">
        <f>0.000625+0.005/D7</f>
        <v>7.5000000000000002E-4</v>
      </c>
      <c r="E29" t="s">
        <v>242</v>
      </c>
    </row>
    <row r="30" spans="2:6" x14ac:dyDescent="0.35">
      <c r="B30" s="13"/>
      <c r="C30" s="12" t="s">
        <v>255</v>
      </c>
      <c r="D30" s="164">
        <f>0.001*(D19+D9*16)/D7</f>
        <v>1.4799999999999999E-2</v>
      </c>
      <c r="E30" t="s">
        <v>242</v>
      </c>
    </row>
    <row r="31" spans="2:6" hidden="1" x14ac:dyDescent="0.35">
      <c r="B31" s="13"/>
      <c r="C31" t="s">
        <v>266</v>
      </c>
      <c r="D31" s="88">
        <f>D11*D30+(D11-1)*D29+D28+D26</f>
        <v>1.7131500000000002</v>
      </c>
      <c r="E31" t="s">
        <v>242</v>
      </c>
    </row>
    <row r="32" spans="2:6" hidden="1" x14ac:dyDescent="0.35">
      <c r="B32" s="13"/>
      <c r="C32" t="s">
        <v>252</v>
      </c>
      <c r="D32" s="85">
        <f>D31*D10</f>
        <v>1.7131500000000002</v>
      </c>
      <c r="E32" t="s">
        <v>242</v>
      </c>
    </row>
    <row r="33" spans="2:6" hidden="1" x14ac:dyDescent="0.35">
      <c r="B33" s="13"/>
      <c r="C33" t="s">
        <v>265</v>
      </c>
      <c r="D33" s="85">
        <f>(D27)*D10</f>
        <v>3.9424999999999999</v>
      </c>
      <c r="E33" t="s">
        <v>242</v>
      </c>
    </row>
    <row r="34" spans="2:6" hidden="1" x14ac:dyDescent="0.35">
      <c r="B34" s="13"/>
      <c r="C34" t="s">
        <v>259</v>
      </c>
      <c r="D34" s="88">
        <f>SQRT(2)*0.5*1.5/D15</f>
        <v>0.10606601717798214</v>
      </c>
      <c r="E34" t="s">
        <v>258</v>
      </c>
    </row>
    <row r="35" spans="2:6" hidden="1" x14ac:dyDescent="0.35">
      <c r="B35" s="13"/>
      <c r="C35" t="s">
        <v>445</v>
      </c>
      <c r="D35" s="89">
        <f>2.02+D7*0.0365</f>
        <v>3.48</v>
      </c>
      <c r="E35" t="s">
        <v>258</v>
      </c>
    </row>
    <row r="36" spans="2:6" hidden="1" x14ac:dyDescent="0.35">
      <c r="B36" s="13"/>
      <c r="C36" t="s">
        <v>446</v>
      </c>
      <c r="D36" s="89">
        <f>D35+D34</f>
        <v>3.5860660171779823</v>
      </c>
      <c r="E36" t="s">
        <v>258</v>
      </c>
    </row>
    <row r="37" spans="2:6" hidden="1" x14ac:dyDescent="0.35">
      <c r="B37" s="13"/>
      <c r="C37" t="s">
        <v>261</v>
      </c>
      <c r="D37" s="80">
        <v>3.5000000000000003E-2</v>
      </c>
      <c r="E37" t="s">
        <v>258</v>
      </c>
    </row>
    <row r="38" spans="2:6" hidden="1" x14ac:dyDescent="0.35">
      <c r="C38" t="s">
        <v>260</v>
      </c>
      <c r="D38" s="80">
        <v>2.0000000000000001E-4</v>
      </c>
      <c r="E38" t="s">
        <v>258</v>
      </c>
    </row>
    <row r="39" spans="2:6" hidden="1" x14ac:dyDescent="0.35">
      <c r="C39" t="s">
        <v>262</v>
      </c>
      <c r="D39" s="88">
        <f>1000-D32-D33</f>
        <v>994.34434999999996</v>
      </c>
      <c r="E39" t="s">
        <v>242</v>
      </c>
    </row>
    <row r="40" spans="2:6" hidden="1" x14ac:dyDescent="0.35">
      <c r="C40" s="64" t="s">
        <v>224</v>
      </c>
      <c r="D40" s="90">
        <f>D38*D39/1000</f>
        <v>1.9886887000000001E-4</v>
      </c>
    </row>
    <row r="41" spans="2:6" hidden="1" x14ac:dyDescent="0.35">
      <c r="C41" s="64" t="s">
        <v>225</v>
      </c>
      <c r="D41" s="90">
        <f>D37*D33/1000</f>
        <v>1.3798750000000001E-4</v>
      </c>
    </row>
    <row r="42" spans="2:6" hidden="1" x14ac:dyDescent="0.35">
      <c r="C42" s="64" t="s">
        <v>226</v>
      </c>
      <c r="D42" s="90">
        <f>D36*D32/1000</f>
        <v>6.1434689973284612E-3</v>
      </c>
    </row>
    <row r="43" spans="2:6" ht="31.5" customHeight="1" x14ac:dyDescent="0.35">
      <c r="C43" s="130" t="s">
        <v>362</v>
      </c>
      <c r="D43" s="66">
        <f>1000*SUM(D40:D42)</f>
        <v>6.4803253673284615</v>
      </c>
      <c r="E43" s="6" t="s">
        <v>269</v>
      </c>
      <c r="F43" s="95"/>
    </row>
    <row r="44" spans="2:6" ht="30.75" customHeight="1" x14ac:dyDescent="0.35">
      <c r="C44" s="131" t="s">
        <v>290</v>
      </c>
      <c r="D44" s="133">
        <f>1000*(D37*D39/1000+D41+D42)</f>
        <v>41.083508747328459</v>
      </c>
      <c r="E44" s="6" t="s">
        <v>269</v>
      </c>
    </row>
  </sheetData>
  <sheetProtection sheet="1" objects="1" scenarios="1"/>
  <conditionalFormatting sqref="E10">
    <cfRule type="expression" dxfId="3" priority="1">
      <formula>$D$39&lt;0</formula>
    </cfRule>
  </conditionalFormatting>
  <dataValidations count="12">
    <dataValidation type="decimal" allowBlank="1" showInputMessage="1" showErrorMessage="1" sqref="D9">
      <formula1>48</formula1>
      <formula2>1048560</formula2>
    </dataValidation>
    <dataValidation type="decimal" errorStyle="warning" allowBlank="1" showInputMessage="1" showErrorMessage="1" errorTitle="Invalid I2C datarate" error="The LDC can support a datarate of up to 400kbit/s." sqref="D14">
      <formula1>1</formula1>
      <formula2>400</formula2>
    </dataValidation>
    <dataValidation type="decimal" errorStyle="information" allowBlank="1" showInputMessage="1" showErrorMessage="1" errorTitle="Q value" error="The Q value entered may not be realizable in a system." sqref="D13">
      <formula1>0.1</formula1>
      <formula2>10000</formula2>
    </dataValidation>
    <dataValidation type="decimal" errorStyle="warning" allowBlank="1" showInputMessage="1" showErrorMessage="1" errorTitle="Invalid Sensor Frequency" error="The LDC is limited to sensor frequencies of 10kHz to 10MHz." sqref="D12">
      <formula1>0.01</formula1>
      <formula2>10</formula2>
    </dataValidation>
    <dataValidation type="decimal" errorStyle="information" allowBlank="1" showInputMessage="1" showErrorMessage="1" errorTitle="Sample Rate out of bounds" error="The sample rate is either extremely low - use the shutdown mode, or the sample rate needed cannot use the low power modes." sqref="D10">
      <formula1>0.1</formula1>
      <formula2>800</formula2>
    </dataValidation>
    <dataValidation type="list" errorStyle="warning" allowBlank="1" showInputMessage="1" showErrorMessage="1" errorTitle="Incorrect number of channels" error="The LDC does not have this number of channels." sqref="D11">
      <formula1>"1,2,3,4"</formula1>
    </dataValidation>
    <dataValidation errorStyle="warning" allowBlank="1" showInputMessage="1" showErrorMessage="1" errorTitle="Invalid I2C datarate" error="The LDC can support a datarate of up to 400kbit/s." sqref="D17:D21"/>
    <dataValidation type="list" errorStyle="warning" allowBlank="1" showInputMessage="1" showErrorMessage="1" errorTitle="Invalid I2C datarate" error="The LDC can support a datarate of up to 400kbit/s." sqref="D16">
      <formula1>"LDC131x,LDC161x"</formula1>
    </dataValidation>
    <dataValidation type="whole" errorStyle="warning" allowBlank="1" showInputMessage="1" showErrorMessage="1" errorTitle="Invalid Reference Frequency" error="The Reference frequency must be greater than the sensor frequency and not greater than 40MHz." sqref="D7">
      <formula1>D12</formula1>
      <formula2>40</formula2>
    </dataValidation>
    <dataValidation allowBlank="1" showInputMessage="1" showErrorMessage="1" errorTitle="Invalid RCount" error="Rcount is restricted to the range of 3 to 65535 (0x0003 to 0xFFFF)." sqref="D8"/>
    <dataValidation type="list" allowBlank="1" showInputMessage="1" showErrorMessage="1" sqref="E8">
      <formula1>"hex,decimal"</formula1>
    </dataValidation>
    <dataValidation type="decimal" errorStyle="warning" allowBlank="1" showInputMessage="1" showErrorMessage="1" errorTitle="Improper Rp" error="The Rp is not valid." sqref="D15">
      <formula1>0.25</formula1>
      <formula2>4000</formula2>
    </dataValidation>
  </dataValidations>
  <hyperlinks>
    <hyperlink ref="E2" location="Contents!A1" display="Return to Main Page"/>
    <hyperlink ref="D5" r:id="rId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4" tint="0.59999389629810485"/>
  </sheetPr>
  <dimension ref="B2:L53"/>
  <sheetViews>
    <sheetView showGridLines="0" showRowColHeaders="0" zoomScaleNormal="100" workbookViewId="0">
      <selection activeCell="C6" sqref="C6"/>
    </sheetView>
  </sheetViews>
  <sheetFormatPr defaultRowHeight="14.5" x14ac:dyDescent="0.35"/>
  <cols>
    <col min="2" max="2" width="5.54296875" customWidth="1"/>
    <col min="3" max="3" width="23.26953125" customWidth="1"/>
    <col min="4" max="4" width="17.453125" customWidth="1"/>
    <col min="5" max="5" width="7.453125" customWidth="1"/>
    <col min="7" max="7" width="20.7265625" bestFit="1" customWidth="1"/>
    <col min="8" max="8" width="10" bestFit="1" customWidth="1"/>
    <col min="10" max="10" width="38.54296875" customWidth="1"/>
  </cols>
  <sheetData>
    <row r="2" spans="2:12" ht="18.5" x14ac:dyDescent="0.45">
      <c r="B2" s="4" t="s">
        <v>356</v>
      </c>
      <c r="E2" s="21" t="s">
        <v>212</v>
      </c>
      <c r="K2" s="15"/>
      <c r="L2" s="15"/>
    </row>
    <row r="3" spans="2:12" x14ac:dyDescent="0.35">
      <c r="B3" s="31"/>
      <c r="C3" s="32" t="s">
        <v>183</v>
      </c>
      <c r="D3" s="31"/>
      <c r="E3" s="31"/>
      <c r="F3" s="14"/>
      <c r="G3" s="31"/>
      <c r="H3" s="31"/>
      <c r="I3" s="31"/>
      <c r="J3" s="31"/>
      <c r="K3" s="15"/>
      <c r="L3" s="15"/>
    </row>
    <row r="4" spans="2:12" x14ac:dyDescent="0.35">
      <c r="B4" s="31"/>
      <c r="C4" s="32" t="s">
        <v>186</v>
      </c>
      <c r="D4" s="31"/>
      <c r="E4" s="31"/>
      <c r="F4" s="14"/>
      <c r="G4" s="31"/>
      <c r="H4" s="31"/>
      <c r="I4" s="31"/>
      <c r="J4" s="31"/>
      <c r="K4" s="15"/>
      <c r="L4" s="15"/>
    </row>
    <row r="5" spans="2:12" x14ac:dyDescent="0.35">
      <c r="B5" s="31"/>
      <c r="C5" s="32" t="s">
        <v>187</v>
      </c>
      <c r="D5" s="31"/>
      <c r="E5" s="31"/>
      <c r="F5" s="14"/>
      <c r="G5" s="31"/>
      <c r="H5" s="31"/>
      <c r="I5" s="31"/>
      <c r="J5" s="31"/>
      <c r="K5" s="15"/>
      <c r="L5" s="15"/>
    </row>
    <row r="6" spans="2:12" x14ac:dyDescent="0.35">
      <c r="B6" s="31"/>
      <c r="C6" s="32" t="s">
        <v>188</v>
      </c>
      <c r="D6" s="31"/>
      <c r="E6" s="31"/>
      <c r="F6" s="14"/>
      <c r="G6" s="31"/>
      <c r="H6" s="31"/>
      <c r="I6" s="31"/>
      <c r="J6" s="31"/>
      <c r="K6" s="15"/>
      <c r="L6" s="15"/>
    </row>
    <row r="7" spans="2:12" x14ac:dyDescent="0.35">
      <c r="B7" s="31"/>
      <c r="C7" s="32" t="s">
        <v>189</v>
      </c>
      <c r="D7" s="31"/>
      <c r="E7" s="31"/>
      <c r="F7" s="14"/>
      <c r="G7" s="31"/>
      <c r="H7" s="31"/>
      <c r="I7" s="31"/>
      <c r="J7" s="31"/>
      <c r="K7" s="15"/>
      <c r="L7" s="15"/>
    </row>
    <row r="8" spans="2:12" x14ac:dyDescent="0.35">
      <c r="B8" s="31"/>
      <c r="C8" s="479" t="s">
        <v>417</v>
      </c>
      <c r="D8" s="31"/>
      <c r="E8" s="31"/>
      <c r="F8" s="14"/>
      <c r="G8" s="31"/>
      <c r="H8" s="31"/>
      <c r="I8" s="31"/>
      <c r="J8" s="31"/>
      <c r="K8" s="15"/>
      <c r="L8" s="15"/>
    </row>
    <row r="9" spans="2:12" x14ac:dyDescent="0.35">
      <c r="B9" s="31"/>
      <c r="C9" s="38" t="s">
        <v>194</v>
      </c>
      <c r="D9" s="31"/>
      <c r="E9" s="31"/>
      <c r="F9" s="14"/>
      <c r="G9" s="31"/>
      <c r="H9" s="31"/>
      <c r="I9" s="31"/>
      <c r="J9" s="31"/>
      <c r="K9" s="15"/>
      <c r="L9" s="15"/>
    </row>
    <row r="10" spans="2:12" x14ac:dyDescent="0.35">
      <c r="B10" s="31"/>
      <c r="C10" s="38"/>
      <c r="D10" s="31"/>
      <c r="E10" s="31"/>
      <c r="F10" s="14"/>
      <c r="G10" s="31"/>
      <c r="H10" s="31"/>
      <c r="I10" s="31"/>
      <c r="J10" s="31"/>
      <c r="K10" s="15"/>
      <c r="L10" s="15"/>
    </row>
    <row r="11" spans="2:12" ht="15.75" customHeight="1" x14ac:dyDescent="0.35">
      <c r="B11" s="31"/>
      <c r="C11" s="31" t="s">
        <v>237</v>
      </c>
      <c r="D11" s="480" t="s">
        <v>238</v>
      </c>
      <c r="E11" s="31"/>
      <c r="F11" s="14"/>
      <c r="G11" s="31"/>
      <c r="H11" s="31"/>
      <c r="I11" s="31"/>
      <c r="J11" s="31"/>
      <c r="K11" s="15"/>
      <c r="L11" s="15"/>
    </row>
    <row r="12" spans="2:12" ht="15.75" customHeight="1" x14ac:dyDescent="0.35">
      <c r="B12" s="31"/>
      <c r="C12" s="31"/>
      <c r="D12" s="31"/>
      <c r="E12" s="31"/>
      <c r="F12" s="14"/>
      <c r="G12" s="31"/>
      <c r="H12" s="31"/>
      <c r="I12" s="31"/>
      <c r="J12" s="31"/>
      <c r="K12" s="15"/>
      <c r="L12" s="15"/>
    </row>
    <row r="13" spans="2:12" ht="18" customHeight="1" x14ac:dyDescent="0.35">
      <c r="B13" s="41" t="s">
        <v>97</v>
      </c>
      <c r="C13" s="41"/>
      <c r="D13" s="41"/>
      <c r="E13" s="41"/>
      <c r="G13" s="31"/>
      <c r="H13" s="31"/>
      <c r="I13" s="31"/>
      <c r="J13" s="31"/>
      <c r="K13" s="15"/>
      <c r="L13" s="15"/>
    </row>
    <row r="14" spans="2:12" x14ac:dyDescent="0.35">
      <c r="B14" s="14"/>
      <c r="C14" s="14"/>
      <c r="D14" s="14"/>
      <c r="E14" s="14"/>
    </row>
    <row r="15" spans="2:12" x14ac:dyDescent="0.35">
      <c r="B15" s="33" t="s">
        <v>184</v>
      </c>
      <c r="C15" s="14"/>
      <c r="D15" s="14"/>
      <c r="E15" s="14"/>
    </row>
    <row r="16" spans="2:12" x14ac:dyDescent="0.35">
      <c r="B16" s="34" t="s">
        <v>101</v>
      </c>
      <c r="C16" s="14" t="s">
        <v>102</v>
      </c>
      <c r="D16" s="342">
        <v>6</v>
      </c>
      <c r="E16" s="47" t="s">
        <v>34</v>
      </c>
    </row>
    <row r="17" spans="2:7" ht="15" hidden="1" customHeight="1" x14ac:dyDescent="0.35">
      <c r="B17" s="34"/>
      <c r="C17" s="14"/>
      <c r="D17" s="343">
        <f>IF(E16="mm",D16,IF(E16="inch",D16*25.4))</f>
        <v>6</v>
      </c>
      <c r="E17" s="344" t="s">
        <v>34</v>
      </c>
    </row>
    <row r="18" spans="2:7" x14ac:dyDescent="0.35">
      <c r="B18" s="34" t="s">
        <v>32</v>
      </c>
      <c r="C18" s="14" t="s">
        <v>103</v>
      </c>
      <c r="D18" s="342">
        <v>35</v>
      </c>
      <c r="E18" s="233"/>
    </row>
    <row r="19" spans="2:7" x14ac:dyDescent="0.35">
      <c r="B19" s="34" t="s">
        <v>86</v>
      </c>
      <c r="C19" s="14" t="s">
        <v>104</v>
      </c>
      <c r="D19" s="342">
        <v>8</v>
      </c>
      <c r="E19" s="47" t="s">
        <v>34</v>
      </c>
    </row>
    <row r="20" spans="2:7" ht="18.75" hidden="1" customHeight="1" x14ac:dyDescent="0.35">
      <c r="B20" s="34"/>
      <c r="C20" s="14"/>
      <c r="D20" s="91">
        <f>IF(E19="mm",D19,IF(E16="inch",D19*25.4))</f>
        <v>8</v>
      </c>
      <c r="E20" s="62" t="s">
        <v>34</v>
      </c>
    </row>
    <row r="21" spans="2:7" x14ac:dyDescent="0.35">
      <c r="B21" s="34" t="s">
        <v>81</v>
      </c>
      <c r="C21" s="14" t="s">
        <v>185</v>
      </c>
      <c r="D21" s="42">
        <f>((D16/1000)^2*D18^2)/((D19/1000)+0.45*(D16/1000))</f>
        <v>4.121495327102803</v>
      </c>
      <c r="E21" s="14" t="s">
        <v>173</v>
      </c>
    </row>
    <row r="22" spans="2:7" x14ac:dyDescent="0.35">
      <c r="B22" s="14"/>
      <c r="C22" s="14"/>
      <c r="D22" s="14"/>
      <c r="E22" s="14"/>
    </row>
    <row r="23" spans="2:7" x14ac:dyDescent="0.35">
      <c r="B23" s="33" t="s">
        <v>190</v>
      </c>
      <c r="C23" s="14"/>
      <c r="D23" s="14"/>
      <c r="E23" s="14"/>
    </row>
    <row r="24" spans="2:7" x14ac:dyDescent="0.35">
      <c r="B24" s="34" t="s">
        <v>101</v>
      </c>
      <c r="C24" s="14" t="s">
        <v>102</v>
      </c>
      <c r="D24" s="342">
        <v>6</v>
      </c>
      <c r="E24" s="47" t="s">
        <v>34</v>
      </c>
    </row>
    <row r="25" spans="2:7" ht="13.5" hidden="1" customHeight="1" x14ac:dyDescent="0.35">
      <c r="B25" s="34"/>
      <c r="C25" s="14"/>
      <c r="D25" s="345">
        <f>IF(E24="mm",D24,IF(E24="inch",D24*25.4))</f>
        <v>6</v>
      </c>
      <c r="E25" s="346" t="s">
        <v>34</v>
      </c>
    </row>
    <row r="26" spans="2:7" x14ac:dyDescent="0.35">
      <c r="B26" s="34" t="s">
        <v>32</v>
      </c>
      <c r="C26" s="14" t="s">
        <v>103</v>
      </c>
      <c r="D26" s="342">
        <v>35</v>
      </c>
      <c r="E26" s="233"/>
    </row>
    <row r="27" spans="2:7" x14ac:dyDescent="0.35">
      <c r="B27" s="34" t="s">
        <v>86</v>
      </c>
      <c r="C27" s="14" t="s">
        <v>104</v>
      </c>
      <c r="D27" s="342">
        <v>11</v>
      </c>
      <c r="E27" s="47" t="s">
        <v>34</v>
      </c>
    </row>
    <row r="28" spans="2:7" ht="15.75" hidden="1" customHeight="1" x14ac:dyDescent="0.35">
      <c r="B28" s="34"/>
      <c r="C28" s="14"/>
      <c r="D28" s="92">
        <f>IF(E27="mm",D27,IF(E24="inch",D27*25.4))</f>
        <v>11</v>
      </c>
      <c r="E28" s="35" t="s">
        <v>34</v>
      </c>
    </row>
    <row r="29" spans="2:7" x14ac:dyDescent="0.35">
      <c r="B29" s="34" t="s">
        <v>81</v>
      </c>
      <c r="C29" s="14" t="s">
        <v>185</v>
      </c>
      <c r="D29" s="42">
        <f>((D24/1000)^2*D26^2)/((D27/1000)+0.45*(D24/1000))</f>
        <v>3.218978102189781</v>
      </c>
      <c r="E29" s="14" t="s">
        <v>173</v>
      </c>
    </row>
    <row r="30" spans="2:7" x14ac:dyDescent="0.35">
      <c r="B30" s="34"/>
      <c r="C30" s="14"/>
      <c r="D30" s="36"/>
      <c r="E30" s="14"/>
      <c r="F30" s="14"/>
      <c r="G30" s="14"/>
    </row>
    <row r="31" spans="2:7" x14ac:dyDescent="0.35">
      <c r="C31" s="14"/>
      <c r="D31" s="14"/>
      <c r="E31" s="14"/>
      <c r="F31" s="14"/>
      <c r="G31" s="14"/>
    </row>
    <row r="32" spans="2:7" x14ac:dyDescent="0.35">
      <c r="C32" s="14" t="s">
        <v>172</v>
      </c>
      <c r="D32" s="342">
        <v>900</v>
      </c>
      <c r="E32" s="14" t="s">
        <v>27</v>
      </c>
      <c r="F32" s="14"/>
      <c r="G32" s="14"/>
    </row>
    <row r="33" spans="2:9" x14ac:dyDescent="0.35">
      <c r="C33" s="14" t="s">
        <v>191</v>
      </c>
      <c r="D33" s="53">
        <f>MIN(D21,D29)+D35</f>
        <v>3.218978102189781</v>
      </c>
      <c r="E33" s="14" t="s">
        <v>173</v>
      </c>
      <c r="F33" s="14" t="s">
        <v>193</v>
      </c>
      <c r="G33" s="14"/>
    </row>
    <row r="34" spans="2:9" x14ac:dyDescent="0.35">
      <c r="C34" s="14" t="s">
        <v>192</v>
      </c>
      <c r="D34" s="53">
        <f>MAX(D21,D29)+D35</f>
        <v>4.121495327102803</v>
      </c>
      <c r="E34" s="14" t="s">
        <v>173</v>
      </c>
      <c r="F34" s="14" t="s">
        <v>193</v>
      </c>
      <c r="G34" s="14"/>
    </row>
    <row r="35" spans="2:9" x14ac:dyDescent="0.35">
      <c r="C35" s="14" t="s">
        <v>98</v>
      </c>
      <c r="D35" s="347">
        <v>0</v>
      </c>
      <c r="E35" s="14" t="s">
        <v>173</v>
      </c>
      <c r="F35" s="33" t="s">
        <v>175</v>
      </c>
      <c r="G35" s="14"/>
    </row>
    <row r="36" spans="2:9" x14ac:dyDescent="0.35">
      <c r="C36" s="14" t="s">
        <v>99</v>
      </c>
      <c r="D36" s="42">
        <f>1/(2*PI()*SQRT((D33+D35)*0.000001*(D32+D35)*0.000000000001))/1000000</f>
        <v>2.9569219812671341</v>
      </c>
      <c r="E36" s="14" t="s">
        <v>0</v>
      </c>
      <c r="F36" s="14" t="str">
        <f>TEXT(H36*1000,0)&amp;"kHz &lt;= fSENSOR &lt;="&amp;TEXT(I36,0)&amp;"MHz"</f>
        <v>10kHz &lt;= fSENSOR &lt;=10MHz</v>
      </c>
      <c r="G36" s="14"/>
      <c r="H36" s="45">
        <f>IF(D11="LDC1000/LDC1041",0.005,0.01)</f>
        <v>0.01</v>
      </c>
      <c r="I36" s="46">
        <f>IF(D11="LDC1000/LDC1041",5,10)</f>
        <v>10</v>
      </c>
    </row>
    <row r="37" spans="2:9" x14ac:dyDescent="0.35">
      <c r="C37" s="14" t="s">
        <v>100</v>
      </c>
      <c r="D37" s="42">
        <f>1/(2*PI()*SQRT((D34+D35)*0.000001*(D32+D35)*0.000000000001))/1000000</f>
        <v>2.6131929089181876</v>
      </c>
      <c r="E37" s="14" t="s">
        <v>0</v>
      </c>
      <c r="F37" s="14" t="str">
        <f>TEXT(H36*1000,0)&amp;"kHz &lt;= fSENSOR &lt;="&amp;TEXT(I36,0)&amp;"MHz"</f>
        <v>10kHz &lt;= fSENSOR &lt;=10MHz</v>
      </c>
      <c r="G37" s="14"/>
    </row>
    <row r="38" spans="2:9" x14ac:dyDescent="0.35">
      <c r="C38" s="14" t="s">
        <v>174</v>
      </c>
      <c r="D38" s="43">
        <f>(D37-D36)*1000</f>
        <v>-343.72907234894654</v>
      </c>
      <c r="E38" s="27" t="s">
        <v>84</v>
      </c>
      <c r="F38" s="14"/>
      <c r="G38" s="14"/>
    </row>
    <row r="39" spans="2:9" x14ac:dyDescent="0.35">
      <c r="C39" s="14"/>
      <c r="D39" s="14"/>
      <c r="E39" s="14"/>
      <c r="F39" s="14"/>
      <c r="G39" s="14"/>
    </row>
    <row r="40" spans="2:9" x14ac:dyDescent="0.35">
      <c r="B40" s="14"/>
      <c r="C40" s="14"/>
      <c r="D40" s="14"/>
      <c r="E40" s="14"/>
      <c r="F40" s="14"/>
      <c r="G40" s="14"/>
    </row>
    <row r="41" spans="2:9" x14ac:dyDescent="0.35">
      <c r="B41" s="14"/>
      <c r="C41" s="33" t="s">
        <v>195</v>
      </c>
      <c r="D41" s="14"/>
      <c r="E41" s="14"/>
      <c r="F41" s="14"/>
      <c r="G41" s="14"/>
    </row>
    <row r="42" spans="2:9" x14ac:dyDescent="0.35">
      <c r="B42" s="14"/>
      <c r="C42" s="14" t="s">
        <v>232</v>
      </c>
      <c r="D42" s="342">
        <v>6144</v>
      </c>
      <c r="E42" s="14"/>
      <c r="F42" t="s">
        <v>179</v>
      </c>
      <c r="G42" s="14"/>
    </row>
    <row r="43" spans="2:9" x14ac:dyDescent="0.35">
      <c r="B43" s="14"/>
      <c r="C43" s="14" t="s">
        <v>19</v>
      </c>
      <c r="D43" s="347">
        <v>8</v>
      </c>
      <c r="E43" s="14" t="s">
        <v>0</v>
      </c>
      <c r="F43" s="14"/>
      <c r="G43" s="14"/>
    </row>
    <row r="44" spans="2:9" ht="15.5" x14ac:dyDescent="0.35">
      <c r="B44" s="14"/>
      <c r="C44" s="14" t="s">
        <v>105</v>
      </c>
      <c r="D44" s="44">
        <f>ABS(FLOOR(0.333333*(D42*((D43/D36)-(D43/D37))),1))</f>
        <v>729</v>
      </c>
      <c r="E44" s="14"/>
      <c r="F44" s="14"/>
      <c r="G44" s="14"/>
    </row>
    <row r="45" spans="2:9" x14ac:dyDescent="0.35">
      <c r="B45" s="14"/>
      <c r="C45" s="27" t="s">
        <v>236</v>
      </c>
      <c r="D45" s="29">
        <f>1000*MIN(D36,D37)*3/D42</f>
        <v>1.2759731000577088</v>
      </c>
      <c r="E45" s="14" t="s">
        <v>215</v>
      </c>
      <c r="F45" s="14"/>
      <c r="G45" s="14"/>
    </row>
    <row r="46" spans="2:9" x14ac:dyDescent="0.35">
      <c r="B46" s="14"/>
      <c r="C46" s="27"/>
      <c r="D46" s="14"/>
      <c r="E46" s="14"/>
      <c r="F46" s="14"/>
      <c r="G46" s="14"/>
    </row>
    <row r="47" spans="2:9" x14ac:dyDescent="0.35">
      <c r="C47" s="61" t="s">
        <v>270</v>
      </c>
    </row>
    <row r="48" spans="2:9" x14ac:dyDescent="0.35">
      <c r="C48" s="27" t="s">
        <v>19</v>
      </c>
      <c r="D48" s="184">
        <v>40</v>
      </c>
      <c r="E48" t="s">
        <v>0</v>
      </c>
    </row>
    <row r="49" spans="3:5" x14ac:dyDescent="0.35">
      <c r="C49" s="27" t="s">
        <v>644</v>
      </c>
      <c r="D49" s="47">
        <v>65535</v>
      </c>
      <c r="E49" t="s">
        <v>239</v>
      </c>
    </row>
    <row r="50" spans="3:5" x14ac:dyDescent="0.35">
      <c r="C50" s="27" t="s">
        <v>643</v>
      </c>
      <c r="D50" s="139" t="str">
        <f>"0x"&amp;DEC2HEX(CEILING(D49,1),4)</f>
        <v>0xFFFF</v>
      </c>
      <c r="E50" t="s">
        <v>382</v>
      </c>
    </row>
    <row r="51" spans="3:5" x14ac:dyDescent="0.35">
      <c r="C51" s="27" t="s">
        <v>240</v>
      </c>
      <c r="D51" s="436">
        <f>ROUND(4*D49*16*ABS(D38*1000)/D48/1000000,0)</f>
        <v>36042</v>
      </c>
    </row>
    <row r="52" spans="3:5" x14ac:dyDescent="0.35">
      <c r="C52" s="27" t="s">
        <v>234</v>
      </c>
      <c r="D52" s="37">
        <f>D49*16/D48</f>
        <v>26214</v>
      </c>
      <c r="E52" s="20" t="s">
        <v>235</v>
      </c>
    </row>
    <row r="53" spans="3:5" x14ac:dyDescent="0.35">
      <c r="C53" s="27" t="s">
        <v>214</v>
      </c>
      <c r="D53" s="29">
        <f>D48*1000/D49/16</f>
        <v>3.8147554741741058E-2</v>
      </c>
      <c r="E53" t="s">
        <v>215</v>
      </c>
    </row>
  </sheetData>
  <sheetProtection sheet="1" objects="1" scenarios="1"/>
  <dataValidations count="11">
    <dataValidation type="list" allowBlank="1" showInputMessage="1" showErrorMessage="1" sqref="E16 E19 E24 E27">
      <formula1>"mm,inch"</formula1>
    </dataValidation>
    <dataValidation type="decimal" operator="greaterThan" allowBlank="1" showInputMessage="1" showErrorMessage="1" sqref="D16 D24">
      <formula1>0</formula1>
    </dataValidation>
    <dataValidation type="decimal" operator="greaterThan" allowBlank="1" showInputMessage="1" showErrorMessage="1" sqref="D18 D26">
      <formula1>0.1</formula1>
    </dataValidation>
    <dataValidation type="decimal" operator="greaterThan" allowBlank="1" showInputMessage="1" showErrorMessage="1" sqref="D19 D27">
      <formula1>0.001</formula1>
    </dataValidation>
    <dataValidation type="decimal" operator="greaterThanOrEqual" allowBlank="1" showInputMessage="1" showErrorMessage="1" sqref="D35">
      <formula1>0</formula1>
    </dataValidation>
    <dataValidation type="list" allowBlank="1" showInputMessage="1" showErrorMessage="1" sqref="D42">
      <formula1>"192,384,768,1536,3072,6144"</formula1>
    </dataValidation>
    <dataValidation type="whole" errorStyle="warning" operator="lessThanOrEqual" allowBlank="1" showInputMessage="1" showErrorMessage="1" errorTitle="Reference frequency too High" error="The LDC1000/LDC1041 has a maximum TBCLK (Fref) frequency of 8MHz." sqref="D43">
      <formula1>8</formula1>
    </dataValidation>
    <dataValidation type="list" allowBlank="1" showInputMessage="1" showErrorMessage="1" sqref="D11">
      <formula1>"LDC1000/LDC1041,LDC131x/LDC161x"</formula1>
    </dataValidation>
    <dataValidation type="decimal" errorStyle="warning" allowBlank="1" showInputMessage="1" showErrorMessage="1" errorTitle="Possible Invalid Reference Freq" error="The Reference Frequency must be greater than the Sensor frequency and also must not exceed the 40MHz maximum." sqref="D48">
      <formula1>MAX(D36:D37)</formula1>
      <formula2>40</formula2>
    </dataValidation>
    <dataValidation type="decimal" errorStyle="warning" allowBlank="1" showInputMessage="1" showErrorMessage="1" errorTitle="Invalid Reference Count" error="The LDC131x/161x minimum reference count is 48 and the maximum reference count is 1048560." sqref="D49">
      <formula1>3</formula1>
      <formula2>65535</formula2>
    </dataValidation>
    <dataValidation errorStyle="warning" allowBlank="1" showInputMessage="1" showErrorMessage="1" errorTitle="Invalid Reference Count" error="The LDC131x/161x minimum reference count is 48 and the maximum reference count is 1048560." sqref="D51 D50"/>
  </dataValidations>
  <hyperlinks>
    <hyperlink ref="E2" location="Contents!A1" display="Return to Main page"/>
    <hyperlink ref="C8" r:id="rId1"/>
  </hyperlinks>
  <pageMargins left="0.7" right="0.7" top="0.75" bottom="0.75" header="0.3" footer="0.3"/>
  <pageSetup orientation="portrait" r:id="rId2"/>
  <drawing r:id="rId3"/>
  <legacyDrawing r:id="rId4"/>
  <oleObjects>
    <mc:AlternateContent xmlns:mc="http://schemas.openxmlformats.org/markup-compatibility/2006">
      <mc:Choice Requires="x14">
        <oleObject progId="Visio.Drawing.11" shapeId="8197" r:id="rId5">
          <objectPr defaultSize="0" r:id="rId6">
            <anchor moveWithCells="1">
              <from>
                <xdr:col>5</xdr:col>
                <xdr:colOff>285750</xdr:colOff>
                <xdr:row>13</xdr:row>
                <xdr:rowOff>31750</xdr:rowOff>
              </from>
              <to>
                <xdr:col>8</xdr:col>
                <xdr:colOff>152400</xdr:colOff>
                <xdr:row>31</xdr:row>
                <xdr:rowOff>165100</xdr:rowOff>
              </to>
            </anchor>
          </objectPr>
        </oleObject>
      </mc:Choice>
      <mc:Fallback>
        <oleObject progId="Visio.Drawing.11" shapeId="8197" r:id="rId5"/>
      </mc:Fallback>
    </mc:AlternateContent>
  </oleObjects>
  <extLst>
    <ext xmlns:x14="http://schemas.microsoft.com/office/spreadsheetml/2009/9/main" uri="{78C0D931-6437-407d-A8EE-F0AAD7539E65}">
      <x14:conditionalFormattings>
        <x14:conditionalFormatting xmlns:xm="http://schemas.microsoft.com/office/excel/2006/main">
          <x14:cfRule type="iconSet" priority="2" id="{09A5B8E8-8070-4521-9B4D-72CF95A7886F}">
            <x14:iconSet custom="1">
              <x14:cfvo type="percent">
                <xm:f>0</xm:f>
              </x14:cfvo>
              <x14:cfvo type="num">
                <xm:f>0</xm:f>
              </x14:cfvo>
              <x14:cfvo type="num">
                <xm:f>$H$36</xm:f>
              </x14:cfvo>
              <x14:cfIcon iconSet="3TrafficLights1" iconId="0"/>
              <x14:cfIcon iconSet="3TrafficLights1" iconId="2"/>
              <x14:cfIcon iconSet="3TrafficLights1" iconId="0"/>
            </x14:iconSet>
          </x14:cfRule>
          <xm:sqref>D36</xm:sqref>
        </x14:conditionalFormatting>
        <x14:conditionalFormatting xmlns:xm="http://schemas.microsoft.com/office/excel/2006/main">
          <x14:cfRule type="iconSet" priority="1" id="{6DA65A5A-2F21-47FE-819C-A6BF9D3283AA}">
            <x14:iconSet custom="1">
              <x14:cfvo type="percent">
                <xm:f>0</xm:f>
              </x14:cfvo>
              <x14:cfvo type="num">
                <xm:f>$H$36</xm:f>
              </x14:cfvo>
              <x14:cfvo type="num">
                <xm:f>$I$36</xm:f>
              </x14:cfvo>
              <x14:cfIcon iconSet="3TrafficLights1" iconId="0"/>
              <x14:cfIcon iconSet="3TrafficLights1" iconId="2"/>
              <x14:cfIcon iconSet="3TrafficLights1" iconId="0"/>
            </x14:iconSet>
          </x14:cfRule>
          <xm:sqref>D36:D37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59999389629810485"/>
  </sheetPr>
  <dimension ref="B2:I59"/>
  <sheetViews>
    <sheetView showGridLines="0" showRowColHeaders="0" zoomScaleNormal="100" workbookViewId="0">
      <selection activeCell="C9" sqref="C9"/>
    </sheetView>
  </sheetViews>
  <sheetFormatPr defaultColWidth="9.1796875" defaultRowHeight="14.5" x14ac:dyDescent="0.35"/>
  <cols>
    <col min="1" max="1" width="5.81640625" style="405" customWidth="1"/>
    <col min="2" max="2" width="25.81640625" style="405" customWidth="1"/>
    <col min="3" max="3" width="12" style="405" bestFit="1" customWidth="1"/>
    <col min="4" max="8" width="9.1796875" style="405"/>
    <col min="9" max="10" width="9.1796875" style="405" customWidth="1"/>
    <col min="11" max="11" width="10" style="405" bestFit="1" customWidth="1"/>
    <col min="12" max="16384" width="9.1796875" style="405"/>
  </cols>
  <sheetData>
    <row r="2" spans="2:8" ht="18.5" x14ac:dyDescent="0.45">
      <c r="B2" s="186" t="s">
        <v>4</v>
      </c>
      <c r="C2" s="2"/>
      <c r="D2" s="2"/>
      <c r="E2" s="2"/>
      <c r="F2" s="187" t="s">
        <v>211</v>
      </c>
      <c r="G2" s="2"/>
      <c r="H2" s="2"/>
    </row>
    <row r="3" spans="2:8" ht="15.5" x14ac:dyDescent="0.35">
      <c r="B3" s="188" t="s">
        <v>229</v>
      </c>
      <c r="C3" s="2"/>
      <c r="D3" s="2"/>
      <c r="E3" s="2"/>
      <c r="F3" s="2"/>
      <c r="G3" s="2"/>
      <c r="H3" s="2"/>
    </row>
    <row r="4" spans="2:8" ht="15.5" x14ac:dyDescent="0.35">
      <c r="B4" s="188" t="s">
        <v>231</v>
      </c>
      <c r="C4" s="2"/>
      <c r="D4" s="2"/>
      <c r="E4" s="2"/>
      <c r="F4" s="2"/>
      <c r="G4" s="2"/>
      <c r="H4" s="2"/>
    </row>
    <row r="5" spans="2:8" ht="15.5" x14ac:dyDescent="0.35">
      <c r="B5" s="188" t="s">
        <v>230</v>
      </c>
      <c r="C5" s="2"/>
      <c r="D5" s="2"/>
      <c r="E5" s="2"/>
      <c r="F5" s="2"/>
      <c r="G5" s="2"/>
      <c r="H5" s="2"/>
    </row>
    <row r="6" spans="2:8" ht="15.5" x14ac:dyDescent="0.35">
      <c r="B6" s="189" t="s">
        <v>11</v>
      </c>
      <c r="C6" s="2"/>
      <c r="D6" s="2"/>
      <c r="E6" s="2"/>
      <c r="F6" s="2"/>
      <c r="G6" s="2"/>
      <c r="H6" s="2"/>
    </row>
    <row r="7" spans="2:8" ht="18.5" x14ac:dyDescent="0.45">
      <c r="B7" s="186"/>
      <c r="C7" s="2"/>
      <c r="D7" s="2"/>
      <c r="E7" s="2"/>
      <c r="F7" s="2"/>
      <c r="G7" s="2"/>
      <c r="H7" s="2"/>
    </row>
    <row r="8" spans="2:8" x14ac:dyDescent="0.35">
      <c r="B8" s="348" t="s">
        <v>6</v>
      </c>
      <c r="C8" s="2"/>
      <c r="D8" s="2"/>
      <c r="E8" s="2"/>
      <c r="F8" s="2"/>
      <c r="G8" s="2"/>
      <c r="H8" s="2"/>
    </row>
    <row r="9" spans="2:8" x14ac:dyDescent="0.35">
      <c r="B9" s="1" t="s">
        <v>7</v>
      </c>
      <c r="C9" s="55" t="s">
        <v>227</v>
      </c>
      <c r="D9" s="2"/>
      <c r="E9" s="2"/>
      <c r="F9" s="2"/>
      <c r="G9" s="2"/>
      <c r="H9" s="2"/>
    </row>
    <row r="10" spans="2:8" x14ac:dyDescent="0.35">
      <c r="B10" s="2" t="s">
        <v>217</v>
      </c>
      <c r="C10" s="52">
        <f>INDEX(C40:C45,MATCH(C9,B40:B45,0))</f>
        <v>10</v>
      </c>
      <c r="D10" s="2" t="s">
        <v>0</v>
      </c>
      <c r="E10" s="2"/>
      <c r="F10" s="2"/>
      <c r="G10" s="2"/>
      <c r="H10" s="2"/>
    </row>
    <row r="11" spans="2:8" x14ac:dyDescent="0.35">
      <c r="B11" s="2" t="s">
        <v>218</v>
      </c>
      <c r="C11" s="349">
        <f>INDEX(D40:D45,MATCH(C9,B40:B45,0))</f>
        <v>1E-3</v>
      </c>
      <c r="D11" s="2" t="s">
        <v>0</v>
      </c>
      <c r="E11" s="2"/>
      <c r="F11" s="2"/>
      <c r="G11" s="2"/>
      <c r="H11" s="2"/>
    </row>
    <row r="12" spans="2:8" x14ac:dyDescent="0.35">
      <c r="B12" s="2" t="s">
        <v>219</v>
      </c>
      <c r="C12" s="47">
        <v>0.7</v>
      </c>
      <c r="D12" s="2" t="s">
        <v>16</v>
      </c>
      <c r="E12" s="2"/>
      <c r="F12" s="2"/>
      <c r="G12" s="2"/>
      <c r="H12" s="2"/>
    </row>
    <row r="13" spans="2:8" hidden="1" x14ac:dyDescent="0.35">
      <c r="B13" s="3"/>
      <c r="C13" s="432">
        <v>299790000</v>
      </c>
      <c r="D13" s="3"/>
      <c r="E13" s="2"/>
      <c r="F13" s="2"/>
      <c r="G13" s="2"/>
      <c r="H13" s="2"/>
    </row>
    <row r="14" spans="2:8" x14ac:dyDescent="0.35">
      <c r="B14" s="2" t="s">
        <v>220</v>
      </c>
      <c r="C14" s="48">
        <v>4</v>
      </c>
      <c r="D14" s="2" t="s">
        <v>0</v>
      </c>
      <c r="E14" s="2"/>
      <c r="F14" s="2"/>
      <c r="G14" s="2"/>
      <c r="H14" s="2"/>
    </row>
    <row r="15" spans="2:8" hidden="1" x14ac:dyDescent="0.35">
      <c r="B15" s="3"/>
      <c r="C15" s="93">
        <f>INDEX(E40:E45,MATCH(C9,B40:B45,0))</f>
        <v>6</v>
      </c>
      <c r="D15" s="141"/>
      <c r="E15" s="2"/>
      <c r="F15" s="2"/>
      <c r="G15" s="2"/>
      <c r="H15" s="2"/>
    </row>
    <row r="16" spans="2:8" hidden="1" x14ac:dyDescent="0.35">
      <c r="B16" s="3"/>
      <c r="C16" s="93">
        <f>INDEX(F40:F45,MATCH(C9,B40:B45,0))</f>
        <v>14</v>
      </c>
      <c r="D16" s="141"/>
      <c r="E16" s="2"/>
      <c r="F16" s="2"/>
      <c r="G16" s="2"/>
      <c r="H16" s="2"/>
    </row>
    <row r="17" spans="2:8" hidden="1" x14ac:dyDescent="0.35">
      <c r="B17" s="3"/>
      <c r="C17" s="93">
        <f>C16/360/(C14*1000000)</f>
        <v>9.7222222222222227E-9</v>
      </c>
      <c r="D17" s="141"/>
      <c r="E17" s="2"/>
      <c r="F17" s="2"/>
      <c r="G17" s="2"/>
      <c r="H17" s="2"/>
    </row>
    <row r="18" spans="2:8" hidden="1" x14ac:dyDescent="0.35">
      <c r="B18" s="3"/>
      <c r="C18" s="93">
        <f>(C17-(C15*0.000000001))/2</f>
        <v>1.861111111111111E-9</v>
      </c>
      <c r="D18" s="3"/>
      <c r="E18" s="2"/>
      <c r="F18" s="2"/>
      <c r="G18" s="2"/>
      <c r="H18" s="2"/>
    </row>
    <row r="19" spans="2:8" ht="15.5" x14ac:dyDescent="0.35">
      <c r="B19" s="1" t="s">
        <v>5</v>
      </c>
      <c r="C19" s="50">
        <f>MAX(50*C18*C12*C13,1)</f>
        <v>19.527987499999998</v>
      </c>
      <c r="D19" s="2" t="s">
        <v>3</v>
      </c>
      <c r="E19" s="2"/>
      <c r="F19" s="2"/>
      <c r="G19" s="2"/>
      <c r="H19" s="2"/>
    </row>
    <row r="20" spans="2:8" x14ac:dyDescent="0.35">
      <c r="B20" s="2"/>
      <c r="C20" s="2"/>
      <c r="D20" s="2"/>
      <c r="E20" s="2"/>
      <c r="F20" s="2"/>
      <c r="G20" s="2"/>
      <c r="H20" s="2"/>
    </row>
    <row r="21" spans="2:8" x14ac:dyDescent="0.35">
      <c r="B21" s="350" t="s">
        <v>8</v>
      </c>
      <c r="C21" s="2"/>
      <c r="D21" s="2"/>
      <c r="E21" s="2"/>
      <c r="F21" s="2"/>
      <c r="G21" s="2"/>
      <c r="H21" s="2"/>
    </row>
    <row r="22" spans="2:8" x14ac:dyDescent="0.35">
      <c r="B22" s="211" t="s">
        <v>221</v>
      </c>
      <c r="C22" s="54">
        <v>15</v>
      </c>
      <c r="D22" s="211" t="s">
        <v>3</v>
      </c>
      <c r="E22" s="2"/>
      <c r="F22" s="2"/>
      <c r="G22" s="2"/>
      <c r="H22" s="2"/>
    </row>
    <row r="23" spans="2:8" hidden="1" x14ac:dyDescent="0.35">
      <c r="B23" s="351"/>
      <c r="C23" s="352">
        <f>0.02*C22/C13</f>
        <v>1.0007004903432402E-9</v>
      </c>
      <c r="D23" s="351"/>
      <c r="E23" s="2"/>
      <c r="F23" s="2"/>
      <c r="G23" s="2"/>
      <c r="H23" s="2"/>
    </row>
    <row r="24" spans="2:8" hidden="1" x14ac:dyDescent="0.35">
      <c r="B24" s="351"/>
      <c r="C24" s="352">
        <f>C23*2/C12</f>
        <v>2.8591442581235437E-9</v>
      </c>
      <c r="D24" s="351"/>
      <c r="E24" s="2"/>
      <c r="F24" s="2"/>
      <c r="G24" s="2"/>
      <c r="H24" s="2"/>
    </row>
    <row r="25" spans="2:8" hidden="1" x14ac:dyDescent="0.35">
      <c r="B25" s="351"/>
      <c r="C25" s="352">
        <f>C24+(C15*0.000000001)</f>
        <v>8.8591442581235445E-9</v>
      </c>
      <c r="D25" s="351"/>
      <c r="E25" s="2"/>
      <c r="F25" s="2"/>
      <c r="G25" s="2"/>
      <c r="H25" s="2"/>
    </row>
    <row r="26" spans="2:8" hidden="1" x14ac:dyDescent="0.35">
      <c r="B26" s="351"/>
      <c r="C26" s="352">
        <f>C16/(360*C25)</f>
        <v>4389689.089127209</v>
      </c>
      <c r="D26" s="351"/>
      <c r="E26" s="2"/>
      <c r="F26" s="2"/>
      <c r="G26" s="2"/>
      <c r="H26" s="2"/>
    </row>
    <row r="27" spans="2:8" ht="15.5" x14ac:dyDescent="0.35">
      <c r="B27" s="353" t="s">
        <v>9</v>
      </c>
      <c r="C27" s="354">
        <f>C26*0.000001</f>
        <v>4.3896890891272085</v>
      </c>
      <c r="D27" s="211" t="s">
        <v>0</v>
      </c>
      <c r="E27" s="2"/>
      <c r="F27" s="2"/>
      <c r="G27" s="2"/>
      <c r="H27" s="2"/>
    </row>
    <row r="28" spans="2:8" x14ac:dyDescent="0.35">
      <c r="B28" s="2"/>
      <c r="C28" s="2"/>
      <c r="D28" s="2"/>
      <c r="E28" s="2"/>
      <c r="F28" s="2"/>
      <c r="G28" s="2"/>
      <c r="H28" s="2"/>
    </row>
    <row r="29" spans="2:8" x14ac:dyDescent="0.35">
      <c r="B29" s="194" t="s">
        <v>216</v>
      </c>
      <c r="C29" s="2"/>
      <c r="D29" s="2"/>
      <c r="E29" s="2"/>
      <c r="F29" s="2"/>
      <c r="G29" s="2"/>
      <c r="H29" s="2"/>
    </row>
    <row r="30" spans="2:8" x14ac:dyDescent="0.35">
      <c r="B30" s="194" t="s">
        <v>12</v>
      </c>
      <c r="C30" s="2"/>
      <c r="D30" s="2"/>
      <c r="E30" s="2"/>
      <c r="F30" s="2"/>
      <c r="G30" s="2"/>
      <c r="H30" s="2"/>
    </row>
    <row r="31" spans="2:8" x14ac:dyDescent="0.35">
      <c r="B31" s="194" t="s">
        <v>108</v>
      </c>
      <c r="C31" s="2"/>
      <c r="D31" s="2"/>
      <c r="E31" s="2"/>
      <c r="F31" s="2"/>
      <c r="G31" s="2"/>
      <c r="H31" s="2"/>
    </row>
    <row r="32" spans="2:8" x14ac:dyDescent="0.35">
      <c r="B32" s="2" t="s">
        <v>358</v>
      </c>
      <c r="C32" s="2"/>
      <c r="D32" s="2"/>
      <c r="E32" s="2"/>
      <c r="F32" s="2"/>
      <c r="G32" s="2"/>
      <c r="H32" s="2"/>
    </row>
    <row r="33" spans="2:9" x14ac:dyDescent="0.35">
      <c r="B33" s="2"/>
      <c r="C33" s="2"/>
      <c r="D33" s="2"/>
      <c r="E33" s="2"/>
      <c r="F33" s="2"/>
      <c r="G33" s="2"/>
      <c r="H33" s="2"/>
    </row>
    <row r="34" spans="2:9" x14ac:dyDescent="0.35">
      <c r="B34" s="2"/>
      <c r="C34" s="2"/>
      <c r="D34" s="2"/>
      <c r="E34" s="2"/>
      <c r="F34" s="2"/>
      <c r="G34" s="2"/>
      <c r="H34" s="2"/>
    </row>
    <row r="35" spans="2:9" x14ac:dyDescent="0.35">
      <c r="B35" s="2"/>
      <c r="C35" s="2"/>
      <c r="D35" s="2"/>
      <c r="E35" s="2"/>
      <c r="F35" s="2"/>
      <c r="G35" s="2"/>
      <c r="H35" s="2"/>
    </row>
    <row r="36" spans="2:9" x14ac:dyDescent="0.35">
      <c r="B36" s="2"/>
      <c r="C36" s="2"/>
      <c r="D36" s="2"/>
      <c r="E36" s="2"/>
      <c r="F36" s="2"/>
      <c r="G36" s="2"/>
      <c r="H36" s="2"/>
    </row>
    <row r="37" spans="2:9" x14ac:dyDescent="0.35">
      <c r="B37" s="2"/>
      <c r="C37" s="2"/>
      <c r="D37" s="2"/>
      <c r="E37" s="2"/>
      <c r="F37" s="2"/>
      <c r="G37" s="2"/>
      <c r="H37" s="2"/>
    </row>
    <row r="38" spans="2:9" x14ac:dyDescent="0.35">
      <c r="B38" s="1"/>
      <c r="C38" s="2"/>
      <c r="D38" s="2"/>
      <c r="E38" s="2"/>
      <c r="F38" s="2"/>
      <c r="G38" s="2"/>
      <c r="H38" s="2"/>
    </row>
    <row r="39" spans="2:9" x14ac:dyDescent="0.35">
      <c r="B39" s="355"/>
      <c r="C39" s="2"/>
      <c r="D39" s="2"/>
      <c r="E39" s="2"/>
      <c r="F39" s="2"/>
      <c r="G39" s="2"/>
      <c r="H39" s="2"/>
    </row>
    <row r="40" spans="2:9" ht="18.5" hidden="1" x14ac:dyDescent="0.45">
      <c r="B40" s="356" t="s">
        <v>15</v>
      </c>
      <c r="C40" s="357" t="s">
        <v>13</v>
      </c>
      <c r="D40" s="357" t="s">
        <v>14</v>
      </c>
      <c r="E40" s="358"/>
      <c r="F40" s="358"/>
      <c r="G40" s="2"/>
      <c r="H40" s="2"/>
    </row>
    <row r="41" spans="2:9" hidden="1" x14ac:dyDescent="0.35">
      <c r="B41" s="359" t="s">
        <v>10</v>
      </c>
      <c r="C41" s="360">
        <v>5</v>
      </c>
      <c r="D41" s="360">
        <v>5.0000000000000001E-3</v>
      </c>
      <c r="E41" s="360">
        <v>5</v>
      </c>
      <c r="F41" s="360">
        <v>10</v>
      </c>
      <c r="G41" s="2"/>
      <c r="H41" s="2"/>
    </row>
    <row r="42" spans="2:9" hidden="1" x14ac:dyDescent="0.35">
      <c r="B42" s="359" t="s">
        <v>196</v>
      </c>
      <c r="C42" s="360">
        <v>5</v>
      </c>
      <c r="D42" s="360">
        <v>5.0000000000000001E-3</v>
      </c>
      <c r="E42" s="360">
        <v>5</v>
      </c>
      <c r="F42" s="360">
        <v>10</v>
      </c>
      <c r="G42" s="2"/>
      <c r="H42" s="2"/>
    </row>
    <row r="43" spans="2:9" hidden="1" x14ac:dyDescent="0.35">
      <c r="B43" s="359" t="s">
        <v>227</v>
      </c>
      <c r="C43" s="360">
        <v>10</v>
      </c>
      <c r="D43" s="360">
        <v>1E-3</v>
      </c>
      <c r="E43" s="360">
        <v>6</v>
      </c>
      <c r="F43" s="360">
        <v>14</v>
      </c>
      <c r="G43" s="2"/>
      <c r="H43" s="2"/>
    </row>
    <row r="44" spans="2:9" hidden="1" x14ac:dyDescent="0.35">
      <c r="B44" s="359" t="s">
        <v>228</v>
      </c>
      <c r="C44" s="360">
        <v>10</v>
      </c>
      <c r="D44" s="360">
        <v>1E-3</v>
      </c>
      <c r="E44" s="360">
        <v>6</v>
      </c>
      <c r="F44" s="360">
        <v>14</v>
      </c>
      <c r="G44" s="2"/>
      <c r="H44" s="361"/>
      <c r="I44" s="430"/>
    </row>
    <row r="45" spans="2:9" hidden="1" x14ac:dyDescent="0.35">
      <c r="B45" s="360" t="s">
        <v>360</v>
      </c>
      <c r="C45" s="360">
        <v>10</v>
      </c>
      <c r="D45" s="360">
        <v>0.5</v>
      </c>
      <c r="E45" s="360">
        <v>5</v>
      </c>
      <c r="F45" s="360">
        <v>20</v>
      </c>
      <c r="G45" s="2"/>
      <c r="H45" s="247"/>
      <c r="I45" s="431"/>
    </row>
    <row r="46" spans="2:9" x14ac:dyDescent="0.35">
      <c r="B46" s="2"/>
      <c r="C46" s="2"/>
      <c r="D46" s="2"/>
      <c r="E46" s="2"/>
      <c r="F46" s="2"/>
      <c r="G46" s="2"/>
      <c r="H46" s="247"/>
      <c r="I46" s="431"/>
    </row>
    <row r="47" spans="2:9" x14ac:dyDescent="0.35">
      <c r="H47" s="431"/>
      <c r="I47" s="431"/>
    </row>
    <row r="48" spans="2:9" x14ac:dyDescent="0.35">
      <c r="H48" s="431"/>
      <c r="I48" s="431"/>
    </row>
    <row r="49" spans="8:9" x14ac:dyDescent="0.35">
      <c r="H49" s="431"/>
      <c r="I49" s="431"/>
    </row>
    <row r="50" spans="8:9" x14ac:dyDescent="0.35">
      <c r="H50" s="431"/>
      <c r="I50" s="431"/>
    </row>
    <row r="51" spans="8:9" x14ac:dyDescent="0.35">
      <c r="H51" s="431"/>
      <c r="I51" s="431"/>
    </row>
    <row r="52" spans="8:9" x14ac:dyDescent="0.35">
      <c r="H52" s="431"/>
      <c r="I52" s="431"/>
    </row>
    <row r="53" spans="8:9" x14ac:dyDescent="0.35">
      <c r="H53" s="431"/>
      <c r="I53" s="431"/>
    </row>
    <row r="54" spans="8:9" x14ac:dyDescent="0.35">
      <c r="H54" s="431"/>
      <c r="I54" s="431"/>
    </row>
    <row r="55" spans="8:9" x14ac:dyDescent="0.35">
      <c r="H55" s="431"/>
      <c r="I55" s="431"/>
    </row>
    <row r="56" spans="8:9" x14ac:dyDescent="0.35">
      <c r="H56" s="431"/>
      <c r="I56" s="431"/>
    </row>
    <row r="57" spans="8:9" x14ac:dyDescent="0.35">
      <c r="H57" s="431"/>
      <c r="I57" s="431"/>
    </row>
    <row r="58" spans="8:9" x14ac:dyDescent="0.35">
      <c r="H58" s="431"/>
      <c r="I58" s="431"/>
    </row>
    <row r="59" spans="8:9" x14ac:dyDescent="0.35">
      <c r="H59" s="431"/>
      <c r="I59" s="431"/>
    </row>
  </sheetData>
  <sheetProtection sheet="1" objects="1" scenarios="1"/>
  <dataValidations count="3">
    <dataValidation type="decimal" allowBlank="1" showInputMessage="1" showErrorMessage="1" sqref="C12">
      <formula1>0.000001</formula1>
      <formula2>1</formula2>
    </dataValidation>
    <dataValidation type="list" allowBlank="1" showInputMessage="1" showErrorMessage="1" sqref="C9">
      <formula1>$B$41:$B$45</formula1>
    </dataValidation>
    <dataValidation type="decimal" errorStyle="warning" allowBlank="1" showInputMessage="1" showErrorMessage="1" errorTitle="Sensor Frequency too high" error="The Sensor frequency cannot exceed the IC Max Frequency" sqref="C14">
      <formula1>C11</formula1>
      <formula2>C10</formula2>
    </dataValidation>
  </dataValidations>
  <hyperlinks>
    <hyperlink ref="F2" location="Contents!A1" display="Return to Main Page"/>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B2:X155"/>
  <sheetViews>
    <sheetView showGridLines="0" showRowColHeaders="0" topLeftCell="A2" zoomScale="85" zoomScaleNormal="85" workbookViewId="0">
      <selection activeCell="E2" sqref="E2"/>
    </sheetView>
  </sheetViews>
  <sheetFormatPr defaultRowHeight="14.5" x14ac:dyDescent="0.35"/>
  <cols>
    <col min="2" max="2" width="8.7265625" customWidth="1"/>
    <col min="3" max="3" width="42.08984375" bestFit="1" customWidth="1"/>
    <col min="5" max="5" width="18.36328125" customWidth="1"/>
    <col min="7" max="14" width="8.90625" customWidth="1"/>
    <col min="15" max="15" width="25.453125" customWidth="1"/>
    <col min="16" max="16" width="9.6328125" customWidth="1"/>
    <col min="19" max="19" width="10.81640625" bestFit="1" customWidth="1"/>
    <col min="24" max="24" width="10.81640625" bestFit="1" customWidth="1"/>
  </cols>
  <sheetData>
    <row r="2" spans="2:24" ht="18.5" x14ac:dyDescent="0.45">
      <c r="B2" s="4" t="s">
        <v>679</v>
      </c>
      <c r="E2" s="21" t="s">
        <v>211</v>
      </c>
    </row>
    <row r="4" spans="2:24" ht="15.5" x14ac:dyDescent="0.35">
      <c r="B4" s="41" t="s">
        <v>584</v>
      </c>
    </row>
    <row r="5" spans="2:24" x14ac:dyDescent="0.35">
      <c r="P5" s="452"/>
      <c r="Q5" s="452"/>
      <c r="R5" s="452"/>
      <c r="S5" s="452"/>
      <c r="U5" s="587"/>
      <c r="V5" s="587"/>
      <c r="W5" s="587"/>
      <c r="X5" s="587"/>
    </row>
    <row r="6" spans="2:24" x14ac:dyDescent="0.35">
      <c r="B6" s="33" t="s">
        <v>680</v>
      </c>
    </row>
    <row r="7" spans="2:24" x14ac:dyDescent="0.35">
      <c r="B7" s="33" t="s">
        <v>681</v>
      </c>
      <c r="E7" s="453" t="s">
        <v>682</v>
      </c>
      <c r="Q7" s="454"/>
      <c r="V7" s="454"/>
    </row>
    <row r="8" spans="2:24" ht="16.5" x14ac:dyDescent="0.45">
      <c r="B8" s="34" t="s">
        <v>683</v>
      </c>
      <c r="C8" s="14" t="s">
        <v>588</v>
      </c>
      <c r="E8" s="455">
        <v>12</v>
      </c>
      <c r="F8" s="17" t="s">
        <v>34</v>
      </c>
      <c r="Q8" s="454"/>
      <c r="U8" s="456"/>
      <c r="V8" s="454"/>
    </row>
    <row r="9" spans="2:24" ht="16.5" x14ac:dyDescent="0.45">
      <c r="B9" s="34" t="s">
        <v>684</v>
      </c>
      <c r="C9" s="14" t="s">
        <v>590</v>
      </c>
      <c r="E9" s="457">
        <v>9</v>
      </c>
      <c r="F9" s="588" t="s">
        <v>34</v>
      </c>
      <c r="Q9" s="454"/>
      <c r="U9" s="456"/>
      <c r="V9" s="454"/>
    </row>
    <row r="10" spans="2:24" ht="16.5" x14ac:dyDescent="0.45">
      <c r="B10" s="34" t="s">
        <v>685</v>
      </c>
      <c r="C10" s="14" t="s">
        <v>591</v>
      </c>
      <c r="E10" s="457">
        <v>14</v>
      </c>
      <c r="F10" s="589"/>
      <c r="Q10" s="454"/>
      <c r="U10" s="456"/>
      <c r="V10" s="454"/>
    </row>
    <row r="11" spans="2:24" x14ac:dyDescent="0.35">
      <c r="B11" s="34" t="s">
        <v>592</v>
      </c>
      <c r="C11" s="14" t="s">
        <v>686</v>
      </c>
      <c r="E11" s="457">
        <v>0.6</v>
      </c>
      <c r="F11" s="17" t="s">
        <v>34</v>
      </c>
      <c r="Q11" s="454"/>
      <c r="U11" s="456"/>
      <c r="V11" s="454"/>
    </row>
    <row r="12" spans="2:24" x14ac:dyDescent="0.35">
      <c r="B12" s="458" t="s">
        <v>593</v>
      </c>
      <c r="C12" s="27" t="s">
        <v>594</v>
      </c>
      <c r="E12" s="457" t="s">
        <v>728</v>
      </c>
      <c r="Q12" s="454"/>
      <c r="U12" s="459"/>
      <c r="V12" s="454"/>
    </row>
    <row r="13" spans="2:24" x14ac:dyDescent="0.35">
      <c r="B13" s="458" t="s">
        <v>595</v>
      </c>
      <c r="C13" s="27" t="s">
        <v>688</v>
      </c>
      <c r="E13" s="460">
        <f>LOOKUP(E12,C64:C69,D64:D69)</f>
        <v>69</v>
      </c>
      <c r="F13" s="461" t="s">
        <v>689</v>
      </c>
      <c r="Q13" s="454"/>
      <c r="U13" s="456"/>
      <c r="V13" s="454"/>
    </row>
    <row r="14" spans="2:24" x14ac:dyDescent="0.35">
      <c r="B14" s="462" t="s">
        <v>690</v>
      </c>
      <c r="C14" s="27" t="s">
        <v>691</v>
      </c>
      <c r="E14" s="460">
        <f ca="1">LOOKUP(E12,C64:C69, E64:E70)</f>
        <v>0.33</v>
      </c>
      <c r="F14" s="461" t="s">
        <v>596</v>
      </c>
      <c r="Q14" s="454"/>
      <c r="U14" s="456"/>
      <c r="V14" s="454"/>
    </row>
    <row r="15" spans="2:24" x14ac:dyDescent="0.35">
      <c r="B15" s="462"/>
      <c r="C15" s="27" t="s">
        <v>692</v>
      </c>
      <c r="E15" s="457">
        <v>11</v>
      </c>
      <c r="F15" s="463" t="s">
        <v>689</v>
      </c>
      <c r="Q15" s="454"/>
      <c r="U15" s="456"/>
      <c r="V15" s="454"/>
    </row>
    <row r="16" spans="2:24" x14ac:dyDescent="0.35">
      <c r="B16" s="462"/>
      <c r="C16" s="27" t="s">
        <v>693</v>
      </c>
      <c r="E16" s="457">
        <v>0.25</v>
      </c>
      <c r="F16" s="463"/>
      <c r="Q16" s="454"/>
      <c r="U16" s="456"/>
      <c r="V16" s="454"/>
    </row>
    <row r="17" spans="2:22" hidden="1" x14ac:dyDescent="0.35">
      <c r="B17" s="462"/>
      <c r="C17" s="27" t="s">
        <v>694</v>
      </c>
      <c r="E17" s="464">
        <f>IF(mat="Other",E15,E13)</f>
        <v>69</v>
      </c>
      <c r="F17" s="463"/>
      <c r="Q17" s="454"/>
      <c r="U17" s="456"/>
      <c r="V17" s="454"/>
    </row>
    <row r="18" spans="2:22" hidden="1" x14ac:dyDescent="0.35">
      <c r="B18" s="462"/>
      <c r="C18" s="27" t="s">
        <v>695</v>
      </c>
      <c r="E18" s="464">
        <f ca="1">IF(mat="Other",E16,E14)</f>
        <v>0.33</v>
      </c>
      <c r="F18" s="463"/>
      <c r="Q18" s="454"/>
      <c r="U18" s="456"/>
      <c r="V18" s="454"/>
    </row>
    <row r="19" spans="2:22" x14ac:dyDescent="0.35">
      <c r="E19" s="11"/>
    </row>
    <row r="20" spans="2:22" x14ac:dyDescent="0.35">
      <c r="B20" s="33" t="s">
        <v>598</v>
      </c>
      <c r="E20" s="11"/>
    </row>
    <row r="21" spans="2:22" x14ac:dyDescent="0.35">
      <c r="B21" s="458" t="s">
        <v>599</v>
      </c>
      <c r="C21" t="s">
        <v>600</v>
      </c>
      <c r="E21" s="465" t="s">
        <v>696</v>
      </c>
      <c r="Q21" s="454"/>
      <c r="U21" s="11"/>
      <c r="V21" s="454"/>
    </row>
    <row r="22" spans="2:22" x14ac:dyDescent="0.35">
      <c r="B22" s="458" t="s">
        <v>95</v>
      </c>
      <c r="C22" t="s">
        <v>601</v>
      </c>
      <c r="E22" s="453">
        <v>1.5</v>
      </c>
      <c r="F22" s="17" t="s">
        <v>32</v>
      </c>
      <c r="Q22" s="454"/>
      <c r="V22" s="454"/>
    </row>
    <row r="23" spans="2:22" x14ac:dyDescent="0.35">
      <c r="E23" s="11"/>
    </row>
    <row r="24" spans="2:22" x14ac:dyDescent="0.35">
      <c r="B24" s="33" t="s">
        <v>602</v>
      </c>
      <c r="E24" s="11"/>
    </row>
    <row r="25" spans="2:22" ht="16.5" hidden="1" x14ac:dyDescent="0.45">
      <c r="B25" s="34" t="s">
        <v>697</v>
      </c>
      <c r="E25" s="466">
        <f>E8/2*IF(Dc_units="mm", 0.001, 0.0254)</f>
        <v>6.0000000000000001E-3</v>
      </c>
      <c r="F25" t="s">
        <v>126</v>
      </c>
    </row>
    <row r="26" spans="2:22" ht="16.5" hidden="1" x14ac:dyDescent="0.45">
      <c r="B26" s="34" t="s">
        <v>684</v>
      </c>
      <c r="E26" s="466">
        <f>MIN(E9,E10)*IF(abr_units="mm", 0.001, 0.0254)</f>
        <v>9.0000000000000011E-3</v>
      </c>
      <c r="F26" t="s">
        <v>126</v>
      </c>
    </row>
    <row r="27" spans="2:22" ht="16.5" hidden="1" x14ac:dyDescent="0.45">
      <c r="B27" s="34" t="s">
        <v>685</v>
      </c>
      <c r="E27" s="466">
        <f>MAX(E9,E10)*IF(abr_units="mm", 0.001, 0.0254)</f>
        <v>1.4E-2</v>
      </c>
      <c r="F27" t="s">
        <v>126</v>
      </c>
    </row>
    <row r="28" spans="2:22" hidden="1" x14ac:dyDescent="0.35">
      <c r="B28" s="34" t="s">
        <v>606</v>
      </c>
      <c r="E28" s="460">
        <f>br/ar</f>
        <v>1.5555555555555554</v>
      </c>
      <c r="F28" s="384" t="s">
        <v>596</v>
      </c>
    </row>
    <row r="29" spans="2:22" hidden="1" x14ac:dyDescent="0.35">
      <c r="B29" s="34" t="s">
        <v>592</v>
      </c>
      <c r="E29" s="460">
        <f>E11*IF(h_units="mm",0.001,0.0254)</f>
        <v>5.9999999999999995E-4</v>
      </c>
      <c r="F29" s="27" t="s">
        <v>126</v>
      </c>
    </row>
    <row r="30" spans="2:22" hidden="1" x14ac:dyDescent="0.35">
      <c r="B30" s="34" t="s">
        <v>698</v>
      </c>
      <c r="E30" s="460">
        <f>PI()*ac^2</f>
        <v>1.1309733552923255E-4</v>
      </c>
      <c r="F30" s="27"/>
    </row>
    <row r="31" spans="2:22" hidden="1" x14ac:dyDescent="0.35">
      <c r="B31" s="34" t="s">
        <v>699</v>
      </c>
      <c r="E31" s="460">
        <f>ar*br</f>
        <v>1.2600000000000003E-4</v>
      </c>
      <c r="F31" s="27"/>
    </row>
    <row r="32" spans="2:22" hidden="1" x14ac:dyDescent="0.35">
      <c r="B32" s="34" t="s">
        <v>477</v>
      </c>
      <c r="C32" t="s">
        <v>607</v>
      </c>
      <c r="E32" s="467">
        <f>IF(E7="circular",area_c, area_r)</f>
        <v>1.2600000000000003E-4</v>
      </c>
      <c r="F32" s="27" t="s">
        <v>700</v>
      </c>
    </row>
    <row r="33" spans="2:6" hidden="1" x14ac:dyDescent="0.35">
      <c r="B33" s="468" t="s">
        <v>453</v>
      </c>
      <c r="C33" t="s">
        <v>701</v>
      </c>
      <c r="E33" s="460">
        <f ca="1">E*h^3/(12*(1-E18^2))</f>
        <v>1.3937829648748732</v>
      </c>
      <c r="F33" s="27" t="s">
        <v>702</v>
      </c>
    </row>
    <row r="34" spans="2:6" ht="16.5" hidden="1" x14ac:dyDescent="0.45">
      <c r="B34" s="468" t="s">
        <v>703</v>
      </c>
      <c r="E34" s="460">
        <f>IF(boa&lt;2.45, (0.4326922 - 0.1810158*(1/boa) - 0.1137154*(1/boa)^2 + 0.6522332*(1/boa)^3)^-1, 2.604)*0.001</f>
        <v>2.2593282957298908E-3</v>
      </c>
      <c r="F34" s="384" t="s">
        <v>596</v>
      </c>
    </row>
    <row r="35" spans="2:6" ht="16.5" hidden="1" x14ac:dyDescent="0.45">
      <c r="B35" s="468" t="s">
        <v>704</v>
      </c>
      <c r="E35" s="460">
        <f>IF(boa&lt;2.45, (125.64683 + 93.593567/boa - 232.6954*(1/boa)^2 + 192.54653*(1/boa)^3)^-1, 0.00724)</f>
        <v>7.102114814137187E-3</v>
      </c>
      <c r="F35" s="384" t="s">
        <v>596</v>
      </c>
    </row>
    <row r="36" spans="2:6" hidden="1" x14ac:dyDescent="0.35">
      <c r="B36" s="468" t="s">
        <v>595</v>
      </c>
      <c r="E36" s="460">
        <f>E17*1000000000</f>
        <v>69000000000</v>
      </c>
      <c r="F36" s="27" t="s">
        <v>608</v>
      </c>
    </row>
    <row r="37" spans="2:6" hidden="1" x14ac:dyDescent="0.35">
      <c r="B37" s="468" t="s">
        <v>95</v>
      </c>
      <c r="C37" t="s">
        <v>705</v>
      </c>
      <c r="E37" s="460">
        <f>E22*IF(F22="N",1, 4.448)</f>
        <v>1.5</v>
      </c>
      <c r="F37" s="27"/>
    </row>
    <row r="38" spans="2:6" hidden="1" x14ac:dyDescent="0.35">
      <c r="B38" s="468" t="s">
        <v>706</v>
      </c>
      <c r="C38" t="s">
        <v>707</v>
      </c>
      <c r="E38" s="460">
        <f>F*IF(F22="N",1, 4.448)/area</f>
        <v>11904.761904761903</v>
      </c>
      <c r="F38" s="27" t="s">
        <v>608</v>
      </c>
    </row>
    <row r="39" spans="2:6" hidden="1" x14ac:dyDescent="0.35">
      <c r="B39" s="469" t="s">
        <v>708</v>
      </c>
      <c r="C39" t="s">
        <v>709</v>
      </c>
      <c r="E39" s="470">
        <f ca="1">q*ac^4/(64*D)*1000000</f>
        <v>0.17296195652173918</v>
      </c>
      <c r="F39" t="s">
        <v>127</v>
      </c>
    </row>
    <row r="40" spans="2:6" hidden="1" x14ac:dyDescent="0.35">
      <c r="B40" s="469" t="s">
        <v>710</v>
      </c>
      <c r="C40" t="s">
        <v>711</v>
      </c>
      <c r="E40" s="470">
        <f ca="1">4*E39</f>
        <v>0.69184782608695672</v>
      </c>
    </row>
    <row r="41" spans="2:6" hidden="1" x14ac:dyDescent="0.35">
      <c r="B41" s="469" t="s">
        <v>712</v>
      </c>
      <c r="C41" t="s">
        <v>713</v>
      </c>
      <c r="E41" s="470">
        <f ca="1">alphau*q*area_r*ar^2/D*1000000</f>
        <v>0.19695203259700175</v>
      </c>
      <c r="F41" t="s">
        <v>127</v>
      </c>
    </row>
    <row r="42" spans="2:6" hidden="1" x14ac:dyDescent="0.35">
      <c r="B42" s="469" t="s">
        <v>714</v>
      </c>
      <c r="C42" t="s">
        <v>715</v>
      </c>
      <c r="E42" s="470">
        <f ca="1">alphap*q*area_r*ar^2/D*1000000</f>
        <v>0.61911141954237892</v>
      </c>
    </row>
    <row r="43" spans="2:6" hidden="1" x14ac:dyDescent="0.35">
      <c r="B43" s="469" t="s">
        <v>716</v>
      </c>
      <c r="E43" s="470">
        <f ca="1">IF(force="Uniform", wpkcu, wpkcp)</f>
        <v>0.17296195652173918</v>
      </c>
      <c r="F43" t="s">
        <v>127</v>
      </c>
    </row>
    <row r="44" spans="2:6" hidden="1" x14ac:dyDescent="0.35">
      <c r="B44" s="469" t="s">
        <v>717</v>
      </c>
      <c r="E44" s="470">
        <f ca="1">IF(E21="Uniform", wpkru, wpkrp)</f>
        <v>0.19695203259700175</v>
      </c>
    </row>
    <row r="45" spans="2:6" x14ac:dyDescent="0.35">
      <c r="B45" s="469" t="s">
        <v>718</v>
      </c>
      <c r="C45" t="s">
        <v>719</v>
      </c>
      <c r="E45" s="471">
        <f ca="1">IF(shape="Circular", E43, E44)</f>
        <v>0.19695203259700175</v>
      </c>
      <c r="F45" t="s">
        <v>127</v>
      </c>
    </row>
    <row r="46" spans="2:6" hidden="1" x14ac:dyDescent="0.35">
      <c r="B46" s="469" t="s">
        <v>609</v>
      </c>
      <c r="C46" t="s">
        <v>720</v>
      </c>
      <c r="E46" s="460">
        <f ca="1">E47*area</f>
        <v>1.654397073814815E-5</v>
      </c>
      <c r="F46" t="s">
        <v>721</v>
      </c>
    </row>
    <row r="47" spans="2:6" x14ac:dyDescent="0.35">
      <c r="B47" s="469" t="s">
        <v>610</v>
      </c>
      <c r="C47" t="s">
        <v>722</v>
      </c>
      <c r="E47" s="466">
        <f ca="1">E45/F</f>
        <v>0.13130135506466784</v>
      </c>
      <c r="F47" t="s">
        <v>723</v>
      </c>
    </row>
    <row r="63" spans="3:6" hidden="1" x14ac:dyDescent="0.35">
      <c r="C63" s="10" t="s">
        <v>585</v>
      </c>
      <c r="D63" s="10" t="s">
        <v>586</v>
      </c>
      <c r="E63" s="10" t="s">
        <v>587</v>
      </c>
    </row>
    <row r="64" spans="3:6" hidden="1" x14ac:dyDescent="0.35">
      <c r="C64" t="s">
        <v>687</v>
      </c>
      <c r="D64">
        <v>197</v>
      </c>
      <c r="E64">
        <v>0.27</v>
      </c>
      <c r="F64" s="7" t="s">
        <v>724</v>
      </c>
    </row>
    <row r="65" spans="3:6" hidden="1" x14ac:dyDescent="0.35">
      <c r="C65" t="s">
        <v>725</v>
      </c>
      <c r="D65">
        <v>200</v>
      </c>
      <c r="E65">
        <v>0.28000000000000003</v>
      </c>
      <c r="F65" t="s">
        <v>726</v>
      </c>
    </row>
    <row r="66" spans="3:6" hidden="1" x14ac:dyDescent="0.35">
      <c r="C66" t="s">
        <v>589</v>
      </c>
      <c r="D66">
        <v>2.2000000000000002</v>
      </c>
      <c r="E66">
        <v>0.35</v>
      </c>
      <c r="F66" t="s">
        <v>727</v>
      </c>
    </row>
    <row r="67" spans="3:6" hidden="1" x14ac:dyDescent="0.35">
      <c r="C67" t="s">
        <v>728</v>
      </c>
      <c r="D67">
        <v>69</v>
      </c>
      <c r="E67">
        <v>0.33</v>
      </c>
      <c r="F67" t="s">
        <v>729</v>
      </c>
    </row>
    <row r="68" spans="3:6" hidden="1" x14ac:dyDescent="0.35">
      <c r="C68" t="s">
        <v>730</v>
      </c>
      <c r="D68">
        <v>2.2000000000000002</v>
      </c>
      <c r="E68">
        <v>0.37</v>
      </c>
      <c r="F68" t="s">
        <v>731</v>
      </c>
    </row>
    <row r="69" spans="3:6" hidden="1" x14ac:dyDescent="0.35">
      <c r="C69" t="s">
        <v>621</v>
      </c>
      <c r="D69">
        <v>1</v>
      </c>
      <c r="E69">
        <v>1</v>
      </c>
    </row>
    <row r="70" spans="3:6" hidden="1" x14ac:dyDescent="0.35"/>
    <row r="71" spans="3:6" hidden="1" x14ac:dyDescent="0.35">
      <c r="C71" s="10" t="s">
        <v>597</v>
      </c>
    </row>
    <row r="72" spans="3:6" hidden="1" x14ac:dyDescent="0.35">
      <c r="C72" t="s">
        <v>732</v>
      </c>
    </row>
    <row r="73" spans="3:6" hidden="1" x14ac:dyDescent="0.35">
      <c r="C73" t="s">
        <v>682</v>
      </c>
    </row>
    <row r="74" spans="3:6" hidden="1" x14ac:dyDescent="0.35"/>
    <row r="75" spans="3:6" hidden="1" x14ac:dyDescent="0.35"/>
    <row r="76" spans="3:6" hidden="1" x14ac:dyDescent="0.35"/>
    <row r="77" spans="3:6" hidden="1" x14ac:dyDescent="0.35">
      <c r="C77" s="10" t="s">
        <v>603</v>
      </c>
    </row>
    <row r="78" spans="3:6" hidden="1" x14ac:dyDescent="0.35">
      <c r="C78" t="s">
        <v>733</v>
      </c>
    </row>
    <row r="79" spans="3:6" hidden="1" x14ac:dyDescent="0.35">
      <c r="C79" t="s">
        <v>696</v>
      </c>
    </row>
    <row r="80" spans="3:6" hidden="1" x14ac:dyDescent="0.35"/>
    <row r="81" spans="2:8" hidden="1" x14ac:dyDescent="0.35">
      <c r="C81" s="10" t="s">
        <v>734</v>
      </c>
    </row>
    <row r="82" spans="2:8" hidden="1" x14ac:dyDescent="0.35">
      <c r="C82" t="s">
        <v>34</v>
      </c>
    </row>
    <row r="83" spans="2:8" hidden="1" x14ac:dyDescent="0.35">
      <c r="C83" t="s">
        <v>735</v>
      </c>
    </row>
    <row r="84" spans="2:8" hidden="1" x14ac:dyDescent="0.35"/>
    <row r="85" spans="2:8" hidden="1" x14ac:dyDescent="0.35">
      <c r="B85" s="10"/>
      <c r="C85" s="10" t="s">
        <v>736</v>
      </c>
    </row>
    <row r="86" spans="2:8" hidden="1" x14ac:dyDescent="0.35">
      <c r="C86">
        <v>1E-3</v>
      </c>
    </row>
    <row r="87" spans="2:8" hidden="1" x14ac:dyDescent="0.35">
      <c r="C87">
        <v>10000</v>
      </c>
    </row>
    <row r="88" spans="2:8" hidden="1" x14ac:dyDescent="0.35"/>
    <row r="89" spans="2:8" hidden="1" x14ac:dyDescent="0.35"/>
    <row r="91" spans="2:8" hidden="1" x14ac:dyDescent="0.35">
      <c r="C91" s="10" t="s">
        <v>737</v>
      </c>
    </row>
    <row r="92" spans="2:8" hidden="1" x14ac:dyDescent="0.35">
      <c r="C92" s="10" t="s">
        <v>738</v>
      </c>
      <c r="D92">
        <v>0.9</v>
      </c>
    </row>
    <row r="93" spans="2:8" hidden="1" x14ac:dyDescent="0.35">
      <c r="C93" s="10" t="s">
        <v>617</v>
      </c>
      <c r="D93" s="10" t="s">
        <v>604</v>
      </c>
      <c r="E93" s="10" t="s">
        <v>605</v>
      </c>
      <c r="F93" s="10" t="s">
        <v>618</v>
      </c>
      <c r="G93" s="10" t="s">
        <v>619</v>
      </c>
      <c r="H93" s="10" t="str">
        <f>E22&amp;F22&amp; " " &amp;force&amp;" Force Deflection"</f>
        <v>1.5N Uniform Force Deflection</v>
      </c>
    </row>
    <row r="94" spans="2:8" hidden="1" x14ac:dyDescent="0.35">
      <c r="C94" s="472">
        <v>0.999</v>
      </c>
      <c r="D94" s="472">
        <f>(1-(C94^2)*(1+2*LN(1/C94)))</f>
        <v>1.9993331662471192E-6</v>
      </c>
      <c r="E94" s="472">
        <f>((1-(C94^2))^2)</f>
        <v>3.9960009999998922E-6</v>
      </c>
      <c r="F94">
        <f>IF(E7="Circular",E8/2,MIN(E9:E10)/2)</f>
        <v>4.5</v>
      </c>
      <c r="G94">
        <f t="shared" ref="G94:G124" si="0">-F94*C94</f>
        <v>-4.4954999999999998</v>
      </c>
      <c r="H94">
        <f t="shared" ref="H94:H125" ca="1" si="1">IF(E21="Uniform",-D94*E$45,-E94*E$45)</f>
        <v>-3.9377273093096932E-7</v>
      </c>
    </row>
    <row r="95" spans="2:8" hidden="1" x14ac:dyDescent="0.35">
      <c r="C95" s="472">
        <f>C94*D$92</f>
        <v>0.89910000000000001</v>
      </c>
      <c r="D95" s="472">
        <f t="shared" ref="D95:D124" si="2">(1-(C95^2)*(1+2*LN(1/C95)))</f>
        <v>1.9658781480882515E-2</v>
      </c>
      <c r="E95" s="472">
        <f t="shared" ref="E95:E124" si="3">((1-(C95^2))^2)</f>
        <v>3.6717913976256074E-2</v>
      </c>
      <c r="F95">
        <f>F94</f>
        <v>4.5</v>
      </c>
      <c r="G95">
        <f t="shared" si="0"/>
        <v>-4.0459500000000004</v>
      </c>
      <c r="H95">
        <f t="shared" ca="1" si="1"/>
        <v>-7.2316677903454928E-3</v>
      </c>
    </row>
    <row r="96" spans="2:8" hidden="1" x14ac:dyDescent="0.35">
      <c r="C96" s="472">
        <f t="shared" ref="C96:C124" si="4">C95*D$92</f>
        <v>0.80919000000000008</v>
      </c>
      <c r="D96" s="472">
        <f t="shared" si="2"/>
        <v>6.7945914236538729E-2</v>
      </c>
      <c r="E96" s="472">
        <f t="shared" si="3"/>
        <v>0.11917101004182153</v>
      </c>
      <c r="F96">
        <f t="shared" ref="F96:F155" si="5">F95</f>
        <v>4.5</v>
      </c>
      <c r="G96">
        <f t="shared" si="0"/>
        <v>-3.6413550000000003</v>
      </c>
      <c r="H96">
        <f t="shared" ca="1" si="1"/>
        <v>-2.3470972654374457E-2</v>
      </c>
    </row>
    <row r="97" spans="3:8" hidden="1" x14ac:dyDescent="0.35">
      <c r="C97" s="472">
        <f t="shared" si="4"/>
        <v>0.72827100000000011</v>
      </c>
      <c r="D97" s="472">
        <f t="shared" si="2"/>
        <v>0.13327425453358566</v>
      </c>
      <c r="E97" s="472">
        <f t="shared" si="3"/>
        <v>0.22054421290085896</v>
      </c>
      <c r="F97">
        <f t="shared" si="5"/>
        <v>4.5</v>
      </c>
      <c r="G97">
        <f t="shared" si="0"/>
        <v>-3.2772195000000006</v>
      </c>
      <c r="H97">
        <f t="shared" ca="1" si="1"/>
        <v>-4.3436631008330069E-2</v>
      </c>
    </row>
    <row r="98" spans="3:8" hidden="1" x14ac:dyDescent="0.35">
      <c r="C98" s="472">
        <f t="shared" si="4"/>
        <v>0.65544390000000008</v>
      </c>
      <c r="D98" s="472">
        <f t="shared" si="2"/>
        <v>0.20742497801381599</v>
      </c>
      <c r="E98" s="472">
        <f t="shared" si="3"/>
        <v>0.32534850978631369</v>
      </c>
      <c r="F98">
        <f t="shared" si="5"/>
        <v>4.5</v>
      </c>
      <c r="G98">
        <f t="shared" si="0"/>
        <v>-2.9494975500000002</v>
      </c>
      <c r="H98">
        <f t="shared" ca="1" si="1"/>
        <v>-6.407805030482E-2</v>
      </c>
    </row>
    <row r="99" spans="3:8" hidden="1" x14ac:dyDescent="0.35">
      <c r="C99" s="472">
        <f t="shared" si="4"/>
        <v>0.58989951000000007</v>
      </c>
      <c r="D99" s="472">
        <f t="shared" si="2"/>
        <v>0.2846872259828962</v>
      </c>
      <c r="E99" s="472">
        <f t="shared" si="3"/>
        <v>0.42512821314946925</v>
      </c>
      <c r="F99">
        <f t="shared" si="5"/>
        <v>4.5</v>
      </c>
      <c r="G99">
        <f t="shared" si="0"/>
        <v>-2.6545477950000005</v>
      </c>
      <c r="H99">
        <f t="shared" ca="1" si="1"/>
        <v>-8.3729865694119374E-2</v>
      </c>
    </row>
    <row r="100" spans="3:8" hidden="1" x14ac:dyDescent="0.35">
      <c r="C100" s="472">
        <f t="shared" si="4"/>
        <v>0.53090955900000003</v>
      </c>
      <c r="D100" s="472">
        <f t="shared" si="2"/>
        <v>0.36120177801742726</v>
      </c>
      <c r="E100" s="472">
        <f t="shared" si="3"/>
        <v>0.51571793590908843</v>
      </c>
      <c r="F100">
        <f t="shared" si="5"/>
        <v>4.5</v>
      </c>
      <c r="G100">
        <f t="shared" si="0"/>
        <v>-2.3890930155000003</v>
      </c>
      <c r="H100">
        <f t="shared" ca="1" si="1"/>
        <v>-0.10157169572402525</v>
      </c>
    </row>
    <row r="101" spans="3:8" hidden="1" x14ac:dyDescent="0.35">
      <c r="C101" s="472">
        <f t="shared" si="4"/>
        <v>0.47781860310000002</v>
      </c>
      <c r="D101" s="472">
        <f t="shared" si="2"/>
        <v>0.434463591420854</v>
      </c>
      <c r="E101" s="472">
        <f t="shared" si="3"/>
        <v>0.59550450311194758</v>
      </c>
      <c r="F101">
        <f t="shared" si="5"/>
        <v>4.5</v>
      </c>
      <c r="G101">
        <f t="shared" si="0"/>
        <v>-2.1501837139500002</v>
      </c>
      <c r="H101">
        <f t="shared" ca="1" si="1"/>
        <v>-0.11728582230856563</v>
      </c>
    </row>
    <row r="102" spans="3:8" hidden="1" x14ac:dyDescent="0.35">
      <c r="C102" s="472">
        <f t="shared" si="4"/>
        <v>0.43003674279000004</v>
      </c>
      <c r="D102" s="472">
        <f t="shared" si="2"/>
        <v>0.50294653154454938</v>
      </c>
      <c r="E102" s="472">
        <f t="shared" si="3"/>
        <v>0.66433649643496429</v>
      </c>
      <c r="F102">
        <f t="shared" si="5"/>
        <v>4.5</v>
      </c>
      <c r="G102">
        <f t="shared" si="0"/>
        <v>-1.9351653425550002</v>
      </c>
      <c r="H102">
        <f t="shared" ca="1" si="1"/>
        <v>-0.13084242330123702</v>
      </c>
    </row>
    <row r="103" spans="3:8" hidden="1" x14ac:dyDescent="0.35">
      <c r="C103" s="472">
        <f t="shared" si="4"/>
        <v>0.38703306851100006</v>
      </c>
      <c r="D103" s="472">
        <f t="shared" si="2"/>
        <v>0.56582181877094773</v>
      </c>
      <c r="E103" s="472">
        <f t="shared" si="3"/>
        <v>0.72284922878498459</v>
      </c>
      <c r="F103">
        <f t="shared" si="5"/>
        <v>4.5</v>
      </c>
      <c r="G103">
        <f t="shared" si="0"/>
        <v>-1.7416488082995003</v>
      </c>
      <c r="H103">
        <f t="shared" ca="1" si="1"/>
        <v>-0.14236662487037785</v>
      </c>
    </row>
    <row r="104" spans="3:8" hidden="1" x14ac:dyDescent="0.35">
      <c r="C104" s="472">
        <f t="shared" si="4"/>
        <v>0.34832976165990004</v>
      </c>
      <c r="D104" s="472">
        <f t="shared" si="2"/>
        <v>0.62274812706255633</v>
      </c>
      <c r="E104" s="472">
        <f t="shared" si="3"/>
        <v>0.7720546023197723</v>
      </c>
      <c r="F104">
        <f t="shared" si="5"/>
        <v>4.5</v>
      </c>
      <c r="G104">
        <f t="shared" si="0"/>
        <v>-1.5674839274695502</v>
      </c>
      <c r="H104">
        <f t="shared" ca="1" si="1"/>
        <v>-0.15205772320274902</v>
      </c>
    </row>
    <row r="105" spans="3:8" hidden="1" x14ac:dyDescent="0.35">
      <c r="C105" s="472">
        <f t="shared" si="4"/>
        <v>0.31349678549391002</v>
      </c>
      <c r="D105" s="472">
        <f t="shared" si="2"/>
        <v>0.67371627054572258</v>
      </c>
      <c r="E105" s="472">
        <f t="shared" si="3"/>
        <v>0.81309853546629696</v>
      </c>
      <c r="F105">
        <f t="shared" si="5"/>
        <v>4.5</v>
      </c>
      <c r="G105">
        <f t="shared" si="0"/>
        <v>-1.4107355347225952</v>
      </c>
      <c r="H105">
        <f t="shared" ca="1" si="1"/>
        <v>-0.16014140926173251</v>
      </c>
    </row>
    <row r="106" spans="3:8" hidden="1" x14ac:dyDescent="0.35">
      <c r="C106" s="472">
        <f t="shared" si="4"/>
        <v>0.28214710694451905</v>
      </c>
      <c r="D106" s="472">
        <f t="shared" si="2"/>
        <v>0.71893531211832729</v>
      </c>
      <c r="E106" s="472">
        <f t="shared" si="3"/>
        <v>0.84712329293571598</v>
      </c>
      <c r="F106">
        <f t="shared" si="5"/>
        <v>4.5</v>
      </c>
      <c r="G106">
        <f t="shared" si="0"/>
        <v>-1.2696619812503358</v>
      </c>
      <c r="H106">
        <f t="shared" ca="1" si="1"/>
        <v>-0.1668426544039546</v>
      </c>
    </row>
    <row r="107" spans="3:8" hidden="1" x14ac:dyDescent="0.35">
      <c r="C107" s="472">
        <f t="shared" si="4"/>
        <v>0.25393239625006714</v>
      </c>
      <c r="D107" s="472">
        <f t="shared" si="2"/>
        <v>0.75874996052664168</v>
      </c>
      <c r="E107" s="472">
        <f t="shared" si="3"/>
        <v>0.87519456098630877</v>
      </c>
      <c r="F107">
        <f t="shared" si="5"/>
        <v>4.5</v>
      </c>
      <c r="G107">
        <f t="shared" si="0"/>
        <v>-1.1426957831253022</v>
      </c>
      <c r="H107">
        <f t="shared" ca="1" si="1"/>
        <v>-0.17237134770409412</v>
      </c>
    </row>
    <row r="108" spans="3:8" hidden="1" x14ac:dyDescent="0.35">
      <c r="C108" s="472">
        <f t="shared" si="4"/>
        <v>0.22853915662506044</v>
      </c>
      <c r="D108" s="472">
        <f t="shared" si="2"/>
        <v>0.79358147777232491</v>
      </c>
      <c r="E108" s="472">
        <f t="shared" si="3"/>
        <v>0.89826769594097744</v>
      </c>
      <c r="F108">
        <f t="shared" si="5"/>
        <v>4.5</v>
      </c>
      <c r="G108">
        <f t="shared" si="0"/>
        <v>-1.0284262048127719</v>
      </c>
      <c r="H108">
        <f t="shared" ca="1" si="1"/>
        <v>-0.17691564853180106</v>
      </c>
    </row>
    <row r="109" spans="3:8" hidden="1" x14ac:dyDescent="0.35">
      <c r="C109" s="472">
        <f t="shared" si="4"/>
        <v>0.20568524096255439</v>
      </c>
      <c r="D109" s="472">
        <f t="shared" si="2"/>
        <v>0.82388614488963685</v>
      </c>
      <c r="E109" s="472">
        <f t="shared" si="3"/>
        <v>0.91717699633394223</v>
      </c>
      <c r="F109">
        <f t="shared" si="5"/>
        <v>4.5</v>
      </c>
      <c r="G109">
        <f t="shared" si="0"/>
        <v>-0.92558358433149479</v>
      </c>
      <c r="H109">
        <f t="shared" ca="1" si="1"/>
        <v>-0.18063987367918274</v>
      </c>
    </row>
    <row r="110" spans="3:8" hidden="1" x14ac:dyDescent="0.35">
      <c r="C110" s="472">
        <f t="shared" si="4"/>
        <v>0.18511671686629896</v>
      </c>
      <c r="D110" s="472">
        <f t="shared" si="2"/>
        <v>0.85012674715478931</v>
      </c>
      <c r="E110" s="472">
        <f t="shared" si="3"/>
        <v>0.93263791172662358</v>
      </c>
      <c r="F110">
        <f t="shared" si="5"/>
        <v>4.5</v>
      </c>
      <c r="G110">
        <f t="shared" si="0"/>
        <v>-0.83302522589834538</v>
      </c>
      <c r="H110">
        <f t="shared" ca="1" si="1"/>
        <v>-0.18368493239158162</v>
      </c>
    </row>
    <row r="111" spans="3:8" hidden="1" x14ac:dyDescent="0.35">
      <c r="C111" s="472">
        <f t="shared" si="4"/>
        <v>0.16660504517966906</v>
      </c>
      <c r="D111" s="472">
        <f t="shared" si="2"/>
        <v>0.87275363072866785</v>
      </c>
      <c r="E111" s="472">
        <f t="shared" si="3"/>
        <v>0.94525598227369634</v>
      </c>
      <c r="F111">
        <f t="shared" si="5"/>
        <v>4.5</v>
      </c>
      <c r="G111">
        <f t="shared" si="0"/>
        <v>-0.74972270330851076</v>
      </c>
      <c r="H111">
        <f t="shared" ca="1" si="1"/>
        <v>-0.18617008703327995</v>
      </c>
    </row>
    <row r="112" spans="3:8" hidden="1" x14ac:dyDescent="0.35">
      <c r="C112" s="472">
        <f t="shared" si="4"/>
        <v>0.14994454066170215</v>
      </c>
      <c r="D112" s="472">
        <f t="shared" si="2"/>
        <v>0.89219272297218477</v>
      </c>
      <c r="E112" s="472">
        <f t="shared" si="3"/>
        <v>0.95553877116555752</v>
      </c>
      <c r="F112">
        <f t="shared" si="5"/>
        <v>4.5</v>
      </c>
      <c r="G112">
        <f t="shared" si="0"/>
        <v>-0.67475043297765969</v>
      </c>
      <c r="H112">
        <f t="shared" ca="1" si="1"/>
        <v>-0.18819530320629788</v>
      </c>
    </row>
    <row r="113" spans="2:8" hidden="1" x14ac:dyDescent="0.35">
      <c r="C113" s="472">
        <f t="shared" si="4"/>
        <v>0.13495008659553195</v>
      </c>
      <c r="D113" s="472">
        <f t="shared" si="2"/>
        <v>0.90883855409386027</v>
      </c>
      <c r="E113" s="472">
        <f t="shared" si="3"/>
        <v>0.96390860793030853</v>
      </c>
      <c r="F113">
        <f t="shared" si="5"/>
        <v>4.5</v>
      </c>
      <c r="G113">
        <f t="shared" si="0"/>
        <v>-0.60727538967989381</v>
      </c>
      <c r="H113">
        <f t="shared" ca="1" si="1"/>
        <v>-0.18984375956962071</v>
      </c>
    </row>
    <row r="114" spans="2:8" hidden="1" x14ac:dyDescent="0.35">
      <c r="C114" s="472">
        <f t="shared" si="4"/>
        <v>0.12145507793597876</v>
      </c>
      <c r="D114" s="472">
        <f t="shared" si="2"/>
        <v>0.92305081209000328</v>
      </c>
      <c r="E114" s="472">
        <f t="shared" si="3"/>
        <v>0.97071492999963038</v>
      </c>
      <c r="F114">
        <f t="shared" si="5"/>
        <v>4.5</v>
      </c>
      <c r="G114">
        <f t="shared" si="0"/>
        <v>-0.54654785071190437</v>
      </c>
      <c r="H114">
        <f t="shared" ca="1" si="1"/>
        <v>-0.19118427853568348</v>
      </c>
    </row>
    <row r="115" spans="2:8" hidden="1" x14ac:dyDescent="0.35">
      <c r="C115" s="472">
        <f t="shared" si="4"/>
        <v>0.10930957014238089</v>
      </c>
      <c r="D115" s="472">
        <f t="shared" si="2"/>
        <v>0.93515334024482355</v>
      </c>
      <c r="E115" s="472">
        <f t="shared" si="3"/>
        <v>0.97624560436536689</v>
      </c>
      <c r="F115">
        <f t="shared" si="5"/>
        <v>4.5</v>
      </c>
      <c r="G115">
        <f t="shared" si="0"/>
        <v>-0.491893065640714</v>
      </c>
      <c r="H115">
        <f t="shared" ca="1" si="1"/>
        <v>-0.19227355609364741</v>
      </c>
    </row>
    <row r="116" spans="2:8" hidden="1" x14ac:dyDescent="0.35">
      <c r="C116" s="472">
        <f t="shared" si="4"/>
        <v>9.8378613128142806E-2</v>
      </c>
      <c r="D116" s="472">
        <f t="shared" si="2"/>
        <v>0.94543477338436299</v>
      </c>
      <c r="E116" s="472">
        <f t="shared" si="3"/>
        <v>0.9807369674461307</v>
      </c>
      <c r="F116">
        <f t="shared" si="5"/>
        <v>4.5</v>
      </c>
      <c r="G116">
        <f t="shared" si="0"/>
        <v>-0.44270375907664261</v>
      </c>
      <c r="H116">
        <f t="shared" ca="1" si="1"/>
        <v>-0.19315813918153499</v>
      </c>
    </row>
    <row r="117" spans="2:8" hidden="1" x14ac:dyDescent="0.35">
      <c r="C117" s="472">
        <f t="shared" si="4"/>
        <v>8.8540751815328528E-2</v>
      </c>
      <c r="D117" s="472">
        <f t="shared" si="2"/>
        <v>0.95415022634803925</v>
      </c>
      <c r="E117" s="472">
        <f t="shared" si="3"/>
        <v>0.98438252774323753</v>
      </c>
      <c r="F117">
        <f t="shared" si="5"/>
        <v>4.5</v>
      </c>
      <c r="G117">
        <f t="shared" si="0"/>
        <v>-0.39843338316897836</v>
      </c>
      <c r="H117">
        <f t="shared" ca="1" si="1"/>
        <v>-0.1938761396920051</v>
      </c>
    </row>
    <row r="118" spans="2:8" hidden="1" x14ac:dyDescent="0.35">
      <c r="C118" s="472">
        <f t="shared" si="4"/>
        <v>7.9686676633795681E-2</v>
      </c>
      <c r="D118" s="472">
        <f t="shared" si="2"/>
        <v>0.96152361186634316</v>
      </c>
      <c r="E118" s="472">
        <f t="shared" si="3"/>
        <v>0.98734038920782108</v>
      </c>
      <c r="F118">
        <f t="shared" si="5"/>
        <v>4.5</v>
      </c>
      <c r="G118">
        <f t="shared" si="0"/>
        <v>-0.35859004485208057</v>
      </c>
      <c r="H118">
        <f t="shared" ca="1" si="1"/>
        <v>-0.19445869651959519</v>
      </c>
    </row>
    <row r="119" spans="2:8" hidden="1" x14ac:dyDescent="0.35">
      <c r="C119" s="472">
        <f t="shared" si="4"/>
        <v>7.1718008970416108E-2</v>
      </c>
      <c r="D119" s="472">
        <f t="shared" si="2"/>
        <v>0.96775028771652727</v>
      </c>
      <c r="E119" s="472">
        <f t="shared" si="3"/>
        <v>0.98973950969119273</v>
      </c>
      <c r="F119">
        <f t="shared" si="5"/>
        <v>4.5</v>
      </c>
      <c r="G119">
        <f t="shared" si="0"/>
        <v>-0.3227310403668725</v>
      </c>
      <c r="H119">
        <f t="shared" ca="1" si="1"/>
        <v>-0.19493120817524032</v>
      </c>
    </row>
    <row r="120" spans="2:8" hidden="1" x14ac:dyDescent="0.35">
      <c r="C120" s="472">
        <f t="shared" si="4"/>
        <v>6.4546208073374495E-2</v>
      </c>
      <c r="D120" s="472">
        <f t="shared" si="2"/>
        <v>0.97299982435526644</v>
      </c>
      <c r="E120" s="472">
        <f t="shared" si="3"/>
        <v>0.99168493137726421</v>
      </c>
      <c r="F120">
        <f t="shared" si="5"/>
        <v>4.5</v>
      </c>
      <c r="G120">
        <f t="shared" si="0"/>
        <v>-0.29045793633018524</v>
      </c>
      <c r="H120">
        <f t="shared" ca="1" si="1"/>
        <v>-0.19531436293057039</v>
      </c>
    </row>
    <row r="121" spans="2:8" hidden="1" x14ac:dyDescent="0.35">
      <c r="C121" s="472">
        <f t="shared" si="4"/>
        <v>5.8091587266037047E-2</v>
      </c>
      <c r="D121" s="472">
        <f t="shared" si="2"/>
        <v>0.97741875168471815</v>
      </c>
      <c r="E121" s="472">
        <f t="shared" si="3"/>
        <v>0.99326212312240969</v>
      </c>
      <c r="F121">
        <f t="shared" si="5"/>
        <v>4.5</v>
      </c>
      <c r="G121">
        <f t="shared" si="0"/>
        <v>-0.26141214269716673</v>
      </c>
      <c r="H121">
        <f t="shared" ca="1" si="1"/>
        <v>-0.19562499405057202</v>
      </c>
    </row>
    <row r="122" spans="2:8" hidden="1" x14ac:dyDescent="0.35">
      <c r="C122" s="472">
        <f t="shared" si="4"/>
        <v>5.2282428539433344E-2</v>
      </c>
      <c r="D122" s="472">
        <f t="shared" si="2"/>
        <v>0.98113319296975299</v>
      </c>
      <c r="E122" s="472">
        <f t="shared" si="3"/>
        <v>0.99454056709370031</v>
      </c>
      <c r="F122">
        <f t="shared" si="5"/>
        <v>4.5</v>
      </c>
      <c r="G122">
        <f t="shared" si="0"/>
        <v>-0.23527092842745004</v>
      </c>
      <c r="H122">
        <f t="shared" ca="1" si="1"/>
        <v>-0.19587678618927906</v>
      </c>
    </row>
    <row r="123" spans="2:8" hidden="1" x14ac:dyDescent="0.35">
      <c r="C123" s="472">
        <f t="shared" si="4"/>
        <v>4.705418568549001E-2</v>
      </c>
      <c r="D123" s="472">
        <f t="shared" si="2"/>
        <v>0.98425132963065631</v>
      </c>
      <c r="E123" s="472">
        <f t="shared" si="3"/>
        <v>0.99557670944177734</v>
      </c>
      <c r="F123">
        <f t="shared" si="5"/>
        <v>4.5</v>
      </c>
      <c r="G123">
        <f t="shared" si="0"/>
        <v>-0.21174383558470505</v>
      </c>
      <c r="H123">
        <f t="shared" ca="1" si="1"/>
        <v>-0.19608085653079269</v>
      </c>
    </row>
    <row r="124" spans="2:8" hidden="1" x14ac:dyDescent="0.35">
      <c r="C124" s="472">
        <f t="shared" si="4"/>
        <v>4.2348767116941008E-2</v>
      </c>
      <c r="D124" s="472">
        <f t="shared" si="2"/>
        <v>0.98686566609420834</v>
      </c>
      <c r="E124" s="472">
        <f t="shared" si="3"/>
        <v>0.99641638019574663</v>
      </c>
      <c r="F124">
        <f t="shared" si="5"/>
        <v>4.5</v>
      </c>
      <c r="G124">
        <f t="shared" si="0"/>
        <v>-0.19056945202623454</v>
      </c>
      <c r="H124">
        <f t="shared" ca="1" si="1"/>
        <v>-0.19624623139249919</v>
      </c>
    </row>
    <row r="125" spans="2:8" hidden="1" x14ac:dyDescent="0.35">
      <c r="B125" t="s">
        <v>739</v>
      </c>
      <c r="C125" s="472">
        <f>C124</f>
        <v>4.2348767116941008E-2</v>
      </c>
      <c r="D125" s="472">
        <f>(1-(C125^2)*(1+2*LN(1/C125)))</f>
        <v>0.98686566609420834</v>
      </c>
      <c r="E125" s="472">
        <f>((1-(C125^2))^2)</f>
        <v>0.99641638019574663</v>
      </c>
      <c r="F125">
        <f t="shared" si="5"/>
        <v>4.5</v>
      </c>
      <c r="G125">
        <f>F125*C125</f>
        <v>0.19056945202623454</v>
      </c>
      <c r="H125">
        <f t="shared" ca="1" si="1"/>
        <v>-0.19624623139249919</v>
      </c>
    </row>
    <row r="126" spans="2:8" hidden="1" x14ac:dyDescent="0.35">
      <c r="C126" s="472">
        <f>C125/D$92</f>
        <v>4.705418568549001E-2</v>
      </c>
      <c r="D126" s="472">
        <f t="shared" ref="D126:D155" si="6">(1-(C126^2)*(1+2*LN(1/C126)))</f>
        <v>0.98425132963065631</v>
      </c>
      <c r="E126" s="472">
        <f t="shared" ref="E126:E155" si="7">((1-(C126^2))^2)</f>
        <v>0.99557670944177734</v>
      </c>
      <c r="F126">
        <f t="shared" si="5"/>
        <v>4.5</v>
      </c>
      <c r="G126">
        <f t="shared" ref="G126:G155" si="8">F126*C126</f>
        <v>0.21174383558470505</v>
      </c>
      <c r="H126">
        <f t="shared" ref="H126:H155" ca="1" si="9">IF(E53="Uniform",-D126*E$45,-E126*E$45)</f>
        <v>-0.19608085653079269</v>
      </c>
    </row>
    <row r="127" spans="2:8" hidden="1" x14ac:dyDescent="0.35">
      <c r="C127" s="472">
        <f t="shared" ref="C127:C155" si="10">C126/D$92</f>
        <v>5.2282428539433344E-2</v>
      </c>
      <c r="D127" s="472">
        <f t="shared" si="6"/>
        <v>0.98113319296975299</v>
      </c>
      <c r="E127" s="472">
        <f t="shared" si="7"/>
        <v>0.99454056709370031</v>
      </c>
      <c r="F127">
        <f t="shared" si="5"/>
        <v>4.5</v>
      </c>
      <c r="G127">
        <f t="shared" si="8"/>
        <v>0.23527092842745004</v>
      </c>
      <c r="H127">
        <f t="shared" ca="1" si="9"/>
        <v>-0.19587678618927906</v>
      </c>
    </row>
    <row r="128" spans="2:8" hidden="1" x14ac:dyDescent="0.35">
      <c r="C128" s="472">
        <f t="shared" si="10"/>
        <v>5.8091587266037047E-2</v>
      </c>
      <c r="D128" s="472">
        <f t="shared" si="6"/>
        <v>0.97741875168471815</v>
      </c>
      <c r="E128" s="472">
        <f t="shared" si="7"/>
        <v>0.99326212312240969</v>
      </c>
      <c r="F128">
        <f t="shared" si="5"/>
        <v>4.5</v>
      </c>
      <c r="G128">
        <f t="shared" si="8"/>
        <v>0.26141214269716673</v>
      </c>
      <c r="H128">
        <f t="shared" ca="1" si="9"/>
        <v>-0.19562499405057202</v>
      </c>
    </row>
    <row r="129" spans="3:8" hidden="1" x14ac:dyDescent="0.35">
      <c r="C129" s="472">
        <f t="shared" si="10"/>
        <v>6.4546208073374495E-2</v>
      </c>
      <c r="D129" s="472">
        <f t="shared" si="6"/>
        <v>0.97299982435526644</v>
      </c>
      <c r="E129" s="472">
        <f t="shared" si="7"/>
        <v>0.99168493137726421</v>
      </c>
      <c r="F129">
        <f t="shared" si="5"/>
        <v>4.5</v>
      </c>
      <c r="G129">
        <f t="shared" si="8"/>
        <v>0.29045793633018524</v>
      </c>
      <c r="H129">
        <f t="shared" ca="1" si="9"/>
        <v>-0.19531436293057039</v>
      </c>
    </row>
    <row r="130" spans="3:8" hidden="1" x14ac:dyDescent="0.35">
      <c r="C130" s="472">
        <f t="shared" si="10"/>
        <v>7.1718008970416108E-2</v>
      </c>
      <c r="D130" s="472">
        <f t="shared" si="6"/>
        <v>0.96775028771652727</v>
      </c>
      <c r="E130" s="472">
        <f t="shared" si="7"/>
        <v>0.98973950969119273</v>
      </c>
      <c r="F130">
        <f t="shared" si="5"/>
        <v>4.5</v>
      </c>
      <c r="G130">
        <f t="shared" si="8"/>
        <v>0.3227310403668725</v>
      </c>
      <c r="H130">
        <f t="shared" ca="1" si="9"/>
        <v>-0.19493120817524032</v>
      </c>
    </row>
    <row r="131" spans="3:8" hidden="1" x14ac:dyDescent="0.35">
      <c r="C131" s="472">
        <f t="shared" si="10"/>
        <v>7.9686676633795681E-2</v>
      </c>
      <c r="D131" s="472">
        <f t="shared" si="6"/>
        <v>0.96152361186634316</v>
      </c>
      <c r="E131" s="472">
        <f t="shared" si="7"/>
        <v>0.98734038920782108</v>
      </c>
      <c r="F131">
        <f t="shared" si="5"/>
        <v>4.5</v>
      </c>
      <c r="G131">
        <f t="shared" si="8"/>
        <v>0.35859004485208057</v>
      </c>
      <c r="H131">
        <f t="shared" ca="1" si="9"/>
        <v>-0.19445869651959519</v>
      </c>
    </row>
    <row r="132" spans="3:8" hidden="1" x14ac:dyDescent="0.35">
      <c r="C132" s="472">
        <f t="shared" si="10"/>
        <v>8.8540751815328528E-2</v>
      </c>
      <c r="D132" s="472">
        <f t="shared" si="6"/>
        <v>0.95415022634803925</v>
      </c>
      <c r="E132" s="472">
        <f t="shared" si="7"/>
        <v>0.98438252774323753</v>
      </c>
      <c r="F132">
        <f t="shared" si="5"/>
        <v>4.5</v>
      </c>
      <c r="G132">
        <f t="shared" si="8"/>
        <v>0.39843338316897836</v>
      </c>
      <c r="H132">
        <f t="shared" ca="1" si="9"/>
        <v>-0.1938761396920051</v>
      </c>
    </row>
    <row r="133" spans="3:8" hidden="1" x14ac:dyDescent="0.35">
      <c r="C133" s="472">
        <f t="shared" si="10"/>
        <v>9.8378613128142806E-2</v>
      </c>
      <c r="D133" s="472">
        <f t="shared" si="6"/>
        <v>0.94543477338436299</v>
      </c>
      <c r="E133" s="472">
        <f t="shared" si="7"/>
        <v>0.9807369674461307</v>
      </c>
      <c r="F133">
        <f t="shared" si="5"/>
        <v>4.5</v>
      </c>
      <c r="G133">
        <f t="shared" si="8"/>
        <v>0.44270375907664261</v>
      </c>
      <c r="H133">
        <f t="shared" ca="1" si="9"/>
        <v>-0.19315813918153499</v>
      </c>
    </row>
    <row r="134" spans="3:8" hidden="1" x14ac:dyDescent="0.35">
      <c r="C134" s="472">
        <f t="shared" si="10"/>
        <v>0.10930957014238089</v>
      </c>
      <c r="D134" s="472">
        <f t="shared" si="6"/>
        <v>0.93515334024482355</v>
      </c>
      <c r="E134" s="472">
        <f t="shared" si="7"/>
        <v>0.97624560436536689</v>
      </c>
      <c r="F134">
        <f t="shared" si="5"/>
        <v>4.5</v>
      </c>
      <c r="G134">
        <f t="shared" si="8"/>
        <v>0.491893065640714</v>
      </c>
      <c r="H134">
        <f t="shared" ca="1" si="9"/>
        <v>-0.19227355609364741</v>
      </c>
    </row>
    <row r="135" spans="3:8" hidden="1" x14ac:dyDescent="0.35">
      <c r="C135" s="472">
        <f t="shared" si="10"/>
        <v>0.12145507793597876</v>
      </c>
      <c r="D135" s="472">
        <f t="shared" si="6"/>
        <v>0.92305081209000328</v>
      </c>
      <c r="E135" s="472">
        <f t="shared" si="7"/>
        <v>0.97071492999963038</v>
      </c>
      <c r="F135">
        <f t="shared" si="5"/>
        <v>4.5</v>
      </c>
      <c r="G135">
        <f t="shared" si="8"/>
        <v>0.54654785071190437</v>
      </c>
      <c r="H135">
        <f t="shared" ca="1" si="9"/>
        <v>-0.19118427853568348</v>
      </c>
    </row>
    <row r="136" spans="3:8" hidden="1" x14ac:dyDescent="0.35">
      <c r="C136" s="472">
        <f t="shared" si="10"/>
        <v>0.13495008659553195</v>
      </c>
      <c r="D136" s="472">
        <f t="shared" si="6"/>
        <v>0.90883855409386027</v>
      </c>
      <c r="E136" s="472">
        <f t="shared" si="7"/>
        <v>0.96390860793030853</v>
      </c>
      <c r="F136">
        <f t="shared" si="5"/>
        <v>4.5</v>
      </c>
      <c r="G136">
        <f t="shared" si="8"/>
        <v>0.60727538967989381</v>
      </c>
      <c r="H136">
        <f t="shared" ca="1" si="9"/>
        <v>-0.18984375956962071</v>
      </c>
    </row>
    <row r="137" spans="3:8" hidden="1" x14ac:dyDescent="0.35">
      <c r="C137" s="472">
        <f t="shared" si="10"/>
        <v>0.14994454066170218</v>
      </c>
      <c r="D137" s="472">
        <f t="shared" si="6"/>
        <v>0.89219272297218477</v>
      </c>
      <c r="E137" s="472">
        <f t="shared" si="7"/>
        <v>0.95553877116555752</v>
      </c>
      <c r="F137">
        <f t="shared" si="5"/>
        <v>4.5</v>
      </c>
      <c r="G137">
        <f t="shared" si="8"/>
        <v>0.6747504329776598</v>
      </c>
      <c r="H137">
        <f t="shared" ca="1" si="9"/>
        <v>-0.18819530320629788</v>
      </c>
    </row>
    <row r="138" spans="3:8" hidden="1" x14ac:dyDescent="0.35">
      <c r="C138" s="472">
        <f t="shared" si="10"/>
        <v>0.16660504517966909</v>
      </c>
      <c r="D138" s="472">
        <f t="shared" si="6"/>
        <v>0.87275363072866785</v>
      </c>
      <c r="E138" s="472">
        <f t="shared" si="7"/>
        <v>0.94525598227369634</v>
      </c>
      <c r="F138">
        <f t="shared" si="5"/>
        <v>4.5</v>
      </c>
      <c r="G138">
        <f t="shared" si="8"/>
        <v>0.74972270330851087</v>
      </c>
      <c r="H138">
        <f t="shared" ca="1" si="9"/>
        <v>-0.18617008703327995</v>
      </c>
    </row>
    <row r="139" spans="3:8" hidden="1" x14ac:dyDescent="0.35">
      <c r="C139" s="472">
        <f t="shared" si="10"/>
        <v>0.18511671686629899</v>
      </c>
      <c r="D139" s="472">
        <f t="shared" si="6"/>
        <v>0.85012674715478931</v>
      </c>
      <c r="E139" s="472">
        <f t="shared" si="7"/>
        <v>0.93263791172662358</v>
      </c>
      <c r="F139">
        <f t="shared" si="5"/>
        <v>4.5</v>
      </c>
      <c r="G139">
        <f t="shared" si="8"/>
        <v>0.83302522589834549</v>
      </c>
      <c r="H139">
        <f t="shared" ca="1" si="9"/>
        <v>-0.18368493239158162</v>
      </c>
    </row>
    <row r="140" spans="3:8" hidden="1" x14ac:dyDescent="0.35">
      <c r="C140" s="472">
        <f t="shared" si="10"/>
        <v>0.20568524096255442</v>
      </c>
      <c r="D140" s="472">
        <f t="shared" si="6"/>
        <v>0.82388614488963685</v>
      </c>
      <c r="E140" s="472">
        <f t="shared" si="7"/>
        <v>0.91717699633394223</v>
      </c>
      <c r="F140">
        <f t="shared" si="5"/>
        <v>4.5</v>
      </c>
      <c r="G140">
        <f t="shared" si="8"/>
        <v>0.9255835843314949</v>
      </c>
      <c r="H140">
        <f t="shared" ca="1" si="9"/>
        <v>-0.18063987367918274</v>
      </c>
    </row>
    <row r="141" spans="3:8" hidden="1" x14ac:dyDescent="0.35">
      <c r="C141" s="472">
        <f t="shared" si="10"/>
        <v>0.22853915662506047</v>
      </c>
      <c r="D141" s="472">
        <f t="shared" si="6"/>
        <v>0.79358147777232491</v>
      </c>
      <c r="E141" s="472">
        <f t="shared" si="7"/>
        <v>0.89826769594097744</v>
      </c>
      <c r="F141">
        <f t="shared" si="5"/>
        <v>4.5</v>
      </c>
      <c r="G141">
        <f t="shared" si="8"/>
        <v>1.0284262048127721</v>
      </c>
      <c r="H141">
        <f t="shared" ca="1" si="9"/>
        <v>-0.17691564853180106</v>
      </c>
    </row>
    <row r="142" spans="3:8" hidden="1" x14ac:dyDescent="0.35">
      <c r="C142" s="472">
        <f t="shared" si="10"/>
        <v>0.25393239625006719</v>
      </c>
      <c r="D142" s="472">
        <f t="shared" si="6"/>
        <v>0.75874996052664168</v>
      </c>
      <c r="E142" s="472">
        <f t="shared" si="7"/>
        <v>0.87519456098630877</v>
      </c>
      <c r="F142">
        <f t="shared" si="5"/>
        <v>4.5</v>
      </c>
      <c r="G142">
        <f t="shared" si="8"/>
        <v>1.1426957831253024</v>
      </c>
      <c r="H142">
        <f t="shared" ca="1" si="9"/>
        <v>-0.17237134770409412</v>
      </c>
    </row>
    <row r="143" spans="3:8" hidden="1" x14ac:dyDescent="0.35">
      <c r="C143" s="472">
        <f t="shared" si="10"/>
        <v>0.28214710694451911</v>
      </c>
      <c r="D143" s="472">
        <f t="shared" si="6"/>
        <v>0.71893531211832729</v>
      </c>
      <c r="E143" s="472">
        <f t="shared" si="7"/>
        <v>0.84712329293571598</v>
      </c>
      <c r="F143">
        <f t="shared" si="5"/>
        <v>4.5</v>
      </c>
      <c r="G143">
        <f t="shared" si="8"/>
        <v>1.269661981250336</v>
      </c>
      <c r="H143">
        <f t="shared" ca="1" si="9"/>
        <v>-0.1668426544039546</v>
      </c>
    </row>
    <row r="144" spans="3:8" hidden="1" x14ac:dyDescent="0.35">
      <c r="C144" s="472">
        <f t="shared" si="10"/>
        <v>0.31349678549391014</v>
      </c>
      <c r="D144" s="472">
        <f t="shared" si="6"/>
        <v>0.67371627054572247</v>
      </c>
      <c r="E144" s="472">
        <f t="shared" si="7"/>
        <v>0.81309853546629696</v>
      </c>
      <c r="F144">
        <f t="shared" si="5"/>
        <v>4.5</v>
      </c>
      <c r="G144">
        <f t="shared" si="8"/>
        <v>1.4107355347225956</v>
      </c>
      <c r="H144">
        <f t="shared" ca="1" si="9"/>
        <v>-0.16014140926173251</v>
      </c>
    </row>
    <row r="145" spans="3:8" hidden="1" x14ac:dyDescent="0.35">
      <c r="C145" s="472">
        <f t="shared" si="10"/>
        <v>0.34832976165990015</v>
      </c>
      <c r="D145" s="472">
        <f t="shared" si="6"/>
        <v>0.62274812706255622</v>
      </c>
      <c r="E145" s="472">
        <f t="shared" si="7"/>
        <v>0.77205460231977208</v>
      </c>
      <c r="F145">
        <f t="shared" si="5"/>
        <v>4.5</v>
      </c>
      <c r="G145">
        <f t="shared" si="8"/>
        <v>1.5674839274695507</v>
      </c>
      <c r="H145">
        <f t="shared" ca="1" si="9"/>
        <v>-0.15205772320274896</v>
      </c>
    </row>
    <row r="146" spans="3:8" hidden="1" x14ac:dyDescent="0.35">
      <c r="C146" s="472">
        <f t="shared" si="10"/>
        <v>0.38703306851100017</v>
      </c>
      <c r="D146" s="472">
        <f t="shared" si="6"/>
        <v>0.56582181877094739</v>
      </c>
      <c r="E146" s="472">
        <f t="shared" si="7"/>
        <v>0.72284922878498459</v>
      </c>
      <c r="F146">
        <f t="shared" si="5"/>
        <v>4.5</v>
      </c>
      <c r="G146">
        <f t="shared" si="8"/>
        <v>1.7416488082995008</v>
      </c>
      <c r="H146">
        <f t="shared" ca="1" si="9"/>
        <v>-0.14236662487037785</v>
      </c>
    </row>
    <row r="147" spans="3:8" hidden="1" x14ac:dyDescent="0.35">
      <c r="C147" s="472">
        <f t="shared" si="10"/>
        <v>0.43003674279000015</v>
      </c>
      <c r="D147" s="472">
        <f t="shared" si="6"/>
        <v>0.50294653154454916</v>
      </c>
      <c r="E147" s="472">
        <f t="shared" si="7"/>
        <v>0.66433649643496417</v>
      </c>
      <c r="F147">
        <f t="shared" si="5"/>
        <v>4.5</v>
      </c>
      <c r="G147">
        <f t="shared" si="8"/>
        <v>1.9351653425550006</v>
      </c>
      <c r="H147">
        <f t="shared" ca="1" si="9"/>
        <v>-0.13084242330123699</v>
      </c>
    </row>
    <row r="148" spans="3:8" hidden="1" x14ac:dyDescent="0.35">
      <c r="C148" s="472">
        <f t="shared" si="10"/>
        <v>0.47781860310000013</v>
      </c>
      <c r="D148" s="472">
        <f t="shared" si="6"/>
        <v>0.43446359142085378</v>
      </c>
      <c r="E148" s="472">
        <f t="shared" si="7"/>
        <v>0.59550450311194725</v>
      </c>
      <c r="F148">
        <f t="shared" si="5"/>
        <v>4.5</v>
      </c>
      <c r="G148">
        <f t="shared" si="8"/>
        <v>2.1501837139500006</v>
      </c>
      <c r="H148">
        <f t="shared" ca="1" si="9"/>
        <v>-0.11728582230856556</v>
      </c>
    </row>
    <row r="149" spans="3:8" hidden="1" x14ac:dyDescent="0.35">
      <c r="C149" s="472">
        <f t="shared" si="10"/>
        <v>0.53090955900000014</v>
      </c>
      <c r="D149" s="472">
        <f t="shared" si="6"/>
        <v>0.36120177801742703</v>
      </c>
      <c r="E149" s="472">
        <f t="shared" si="7"/>
        <v>0.51571793590908832</v>
      </c>
      <c r="F149">
        <f t="shared" si="5"/>
        <v>4.5</v>
      </c>
      <c r="G149">
        <f t="shared" si="8"/>
        <v>2.3890930155000007</v>
      </c>
      <c r="H149">
        <f t="shared" ca="1" si="9"/>
        <v>-0.10157169572402522</v>
      </c>
    </row>
    <row r="150" spans="3:8" hidden="1" x14ac:dyDescent="0.35">
      <c r="C150" s="472">
        <f t="shared" si="10"/>
        <v>0.58989951000000018</v>
      </c>
      <c r="D150" s="472">
        <f t="shared" si="6"/>
        <v>0.2846872259828962</v>
      </c>
      <c r="E150" s="472">
        <f t="shared" si="7"/>
        <v>0.42512821314946897</v>
      </c>
      <c r="F150">
        <f t="shared" si="5"/>
        <v>4.5</v>
      </c>
      <c r="G150">
        <f t="shared" si="8"/>
        <v>2.6545477950000009</v>
      </c>
      <c r="H150">
        <f t="shared" ca="1" si="9"/>
        <v>-8.3729865694119318E-2</v>
      </c>
    </row>
    <row r="151" spans="3:8" hidden="1" x14ac:dyDescent="0.35">
      <c r="C151" s="472">
        <f t="shared" si="10"/>
        <v>0.65544390000000019</v>
      </c>
      <c r="D151" s="472">
        <f t="shared" si="6"/>
        <v>0.20742497801381587</v>
      </c>
      <c r="E151" s="472">
        <f t="shared" si="7"/>
        <v>0.32534850978631369</v>
      </c>
      <c r="F151">
        <f t="shared" si="5"/>
        <v>4.5</v>
      </c>
      <c r="G151">
        <f t="shared" si="8"/>
        <v>2.9494975500000007</v>
      </c>
      <c r="H151">
        <f t="shared" ca="1" si="9"/>
        <v>-6.407805030482E-2</v>
      </c>
    </row>
    <row r="152" spans="3:8" hidden="1" x14ac:dyDescent="0.35">
      <c r="C152" s="472">
        <f t="shared" si="10"/>
        <v>0.72827100000000022</v>
      </c>
      <c r="D152" s="472">
        <f t="shared" si="6"/>
        <v>0.13327425453358566</v>
      </c>
      <c r="E152" s="472">
        <f t="shared" si="7"/>
        <v>0.22054421290085885</v>
      </c>
      <c r="F152">
        <f t="shared" si="5"/>
        <v>4.5</v>
      </c>
      <c r="G152">
        <f t="shared" si="8"/>
        <v>3.2772195000000011</v>
      </c>
      <c r="H152">
        <f t="shared" ca="1" si="9"/>
        <v>-4.3436631008330048E-2</v>
      </c>
    </row>
    <row r="153" spans="3:8" hidden="1" x14ac:dyDescent="0.35">
      <c r="C153" s="472">
        <f t="shared" si="10"/>
        <v>0.80919000000000019</v>
      </c>
      <c r="D153" s="472">
        <f t="shared" si="6"/>
        <v>6.7945914236538618E-2</v>
      </c>
      <c r="E153" s="472">
        <f t="shared" si="7"/>
        <v>0.11917101004182146</v>
      </c>
      <c r="F153">
        <f t="shared" si="5"/>
        <v>4.5</v>
      </c>
      <c r="G153">
        <f t="shared" si="8"/>
        <v>3.6413550000000008</v>
      </c>
      <c r="H153">
        <f t="shared" ca="1" si="9"/>
        <v>-2.3470972654374443E-2</v>
      </c>
    </row>
    <row r="154" spans="3:8" hidden="1" x14ac:dyDescent="0.35">
      <c r="C154" s="472">
        <f t="shared" si="10"/>
        <v>0.89910000000000023</v>
      </c>
      <c r="D154" s="472">
        <f t="shared" si="6"/>
        <v>1.9658781480882292E-2</v>
      </c>
      <c r="E154" s="472">
        <f t="shared" si="7"/>
        <v>3.6717913976255949E-2</v>
      </c>
      <c r="F154">
        <f t="shared" si="5"/>
        <v>4.5</v>
      </c>
      <c r="G154">
        <f t="shared" si="8"/>
        <v>4.0459500000000013</v>
      </c>
      <c r="H154">
        <f t="shared" ca="1" si="9"/>
        <v>-7.2316677903454677E-3</v>
      </c>
    </row>
    <row r="155" spans="3:8" hidden="1" x14ac:dyDescent="0.35">
      <c r="C155" s="472">
        <f t="shared" si="10"/>
        <v>0.99900000000000022</v>
      </c>
      <c r="D155" s="472">
        <f t="shared" si="6"/>
        <v>1.9993331662471192E-6</v>
      </c>
      <c r="E155" s="472">
        <f t="shared" si="7"/>
        <v>3.9960009999981168E-6</v>
      </c>
      <c r="F155">
        <f t="shared" si="5"/>
        <v>4.5</v>
      </c>
      <c r="G155">
        <f t="shared" si="8"/>
        <v>4.4955000000000007</v>
      </c>
      <c r="H155">
        <f t="shared" ca="1" si="9"/>
        <v>-7.8702051920928071E-7</v>
      </c>
    </row>
  </sheetData>
  <sheetProtection sheet="1" objects="1" scenarios="1"/>
  <mergeCells count="2">
    <mergeCell ref="U5:X5"/>
    <mergeCell ref="F9:F10"/>
  </mergeCells>
  <conditionalFormatting sqref="E8:F8">
    <cfRule type="expression" dxfId="2" priority="3">
      <formula>$E$7&lt;&gt;"circular"</formula>
    </cfRule>
  </conditionalFormatting>
  <conditionalFormatting sqref="E9:F9 E10">
    <cfRule type="expression" dxfId="1" priority="2">
      <formula>$E$7&lt;&gt;"rectangular"</formula>
    </cfRule>
  </conditionalFormatting>
  <conditionalFormatting sqref="E15:E16">
    <cfRule type="expression" dxfId="0" priority="1">
      <formula>$E$12&lt;&gt;"Other"</formula>
    </cfRule>
  </conditionalFormatting>
  <dataValidations count="11">
    <dataValidation type="decimal" allowBlank="1" showInputMessage="1" showErrorMessage="1" sqref="E10">
      <formula1>C86</formula1>
      <formula2>C87</formula2>
    </dataValidation>
    <dataValidation type="list" allowBlank="1" showInputMessage="1" showErrorMessage="1" sqref="F8:F11">
      <formula1>$C$82:$C$83</formula1>
    </dataValidation>
    <dataValidation type="decimal" errorStyle="warning" allowBlank="1" showInputMessage="1" showErrorMessage="1" error="This is an Extreme value. Please check." sqref="E16:E18">
      <formula1>C86</formula1>
      <formula2>C87</formula2>
    </dataValidation>
    <dataValidation type="decimal" errorStyle="warning" allowBlank="1" showInputMessage="1" showErrorMessage="1" error="This is an Extreme value. Please check." sqref="E15">
      <formula1>C86</formula1>
      <formula2>C87</formula2>
    </dataValidation>
    <dataValidation type="decimal" allowBlank="1" showInputMessage="1" showErrorMessage="1" sqref="E8:E9 E11">
      <formula1>C83</formula1>
      <formula2>C84</formula2>
    </dataValidation>
    <dataValidation type="list" allowBlank="1" showInputMessage="1" showErrorMessage="1" sqref="E21">
      <formula1>$C$78:$C$79</formula1>
    </dataValidation>
    <dataValidation type="list" allowBlank="1" showInputMessage="1" showErrorMessage="1" sqref="E12">
      <formula1>$C$64:$C$69</formula1>
    </dataValidation>
    <dataValidation type="list" allowBlank="1" showInputMessage="1" showErrorMessage="1" sqref="C7">
      <formula1>button_shapes</formula1>
    </dataValidation>
    <dataValidation type="list" allowBlank="1" showInputMessage="1" showErrorMessage="1" sqref="E7">
      <formula1>$C$72:$C$73</formula1>
    </dataValidation>
    <dataValidation type="decimal" errorStyle="warning" allowBlank="1" showInputMessage="1" showErrorMessage="1" error="This entry is outside of normal expected ranges." sqref="E22">
      <formula1>C86</formula1>
      <formula2>C87</formula2>
    </dataValidation>
    <dataValidation type="list" allowBlank="1" showInputMessage="1" showErrorMessage="1" sqref="F22">
      <formula1>"N,lbf"</formula1>
    </dataValidation>
  </dataValidations>
  <hyperlinks>
    <hyperlink ref="E2" location="Contents!A1" display="Return to Main Page"/>
  </hyperlinks>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67585" r:id="rId4">
          <objectPr defaultSize="0" autoPict="0" r:id="rId5">
            <anchor moveWithCells="1">
              <from>
                <xdr:col>6</xdr:col>
                <xdr:colOff>482600</xdr:colOff>
                <xdr:row>3</xdr:row>
                <xdr:rowOff>177800</xdr:rowOff>
              </from>
              <to>
                <xdr:col>12</xdr:col>
                <xdr:colOff>25400</xdr:colOff>
                <xdr:row>21</xdr:row>
                <xdr:rowOff>184150</xdr:rowOff>
              </to>
            </anchor>
          </objectPr>
        </oleObject>
      </mc:Choice>
      <mc:Fallback>
        <oleObject progId="Visio.Drawing.11" shapeId="6758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2:AC110"/>
  <sheetViews>
    <sheetView showGridLines="0" showRowColHeaders="0" zoomScaleNormal="100" workbookViewId="0">
      <selection activeCell="D2" sqref="D2"/>
    </sheetView>
  </sheetViews>
  <sheetFormatPr defaultRowHeight="14.5" x14ac:dyDescent="0.35"/>
  <cols>
    <col min="1" max="1" width="6.7265625" style="2" customWidth="1"/>
    <col min="2" max="2" width="42.1796875" style="2" customWidth="1"/>
    <col min="3" max="3" width="9.1796875" style="2"/>
    <col min="4" max="4" width="18.453125" style="234" customWidth="1"/>
    <col min="5" max="5" width="8.54296875" style="234" customWidth="1"/>
    <col min="6" max="6" width="21.1796875" style="234" hidden="1" customWidth="1"/>
    <col min="7" max="7" width="52" style="237" customWidth="1"/>
    <col min="8" max="9" width="9.1796875" style="2"/>
    <col min="10" max="10" width="3.1796875" style="2" hidden="1" customWidth="1"/>
    <col min="11" max="11" width="3.81640625" style="2" hidden="1" customWidth="1"/>
    <col min="12" max="12" width="8.54296875" style="2" hidden="1" customWidth="1"/>
    <col min="13" max="13" width="8.81640625" style="2" hidden="1" customWidth="1"/>
    <col min="14" max="14" width="7.453125" style="2" hidden="1" customWidth="1"/>
    <col min="15" max="15" width="8.26953125" style="2" hidden="1" customWidth="1"/>
    <col min="16" max="16" width="8" style="2" hidden="1" customWidth="1"/>
    <col min="17" max="17" width="8.1796875" style="2" hidden="1" customWidth="1"/>
    <col min="18" max="18" width="9" style="2" hidden="1" customWidth="1"/>
    <col min="19" max="19" width="9.1796875" style="2" hidden="1" customWidth="1"/>
    <col min="20" max="20" width="8.54296875" style="2" hidden="1" customWidth="1"/>
    <col min="21" max="21" width="11.453125" style="2" hidden="1" customWidth="1"/>
    <col min="22" max="256" width="9.1796875" style="2"/>
    <col min="257" max="257" width="6.7265625" style="2" customWidth="1"/>
    <col min="258" max="258" width="42.1796875" style="2" customWidth="1"/>
    <col min="259" max="259" width="9.1796875" style="2"/>
    <col min="260" max="260" width="17.453125" style="2" customWidth="1"/>
    <col min="261" max="261" width="8.54296875" style="2" customWidth="1"/>
    <col min="262" max="262" width="0" style="2" hidden="1" customWidth="1"/>
    <col min="263" max="263" width="44.81640625" style="2" customWidth="1"/>
    <col min="264" max="265" width="9.1796875" style="2"/>
    <col min="266" max="266" width="3.1796875" style="2" customWidth="1"/>
    <col min="267" max="267" width="3.81640625" style="2" customWidth="1"/>
    <col min="268" max="268" width="8.54296875" style="2" customWidth="1"/>
    <col min="269" max="269" width="8.81640625" style="2" customWidth="1"/>
    <col min="270" max="270" width="7.453125" style="2" customWidth="1"/>
    <col min="271" max="271" width="8.26953125" style="2" customWidth="1"/>
    <col min="272" max="272" width="8" style="2" customWidth="1"/>
    <col min="273" max="273" width="8.1796875" style="2" customWidth="1"/>
    <col min="274" max="274" width="9" style="2" customWidth="1"/>
    <col min="275" max="275" width="9.1796875" style="2" customWidth="1"/>
    <col min="276" max="276" width="8.54296875" style="2" customWidth="1"/>
    <col min="277" max="277" width="11.453125" style="2" customWidth="1"/>
    <col min="278" max="512" width="9.1796875" style="2"/>
    <col min="513" max="513" width="6.7265625" style="2" customWidth="1"/>
    <col min="514" max="514" width="42.1796875" style="2" customWidth="1"/>
    <col min="515" max="515" width="9.1796875" style="2"/>
    <col min="516" max="516" width="17.453125" style="2" customWidth="1"/>
    <col min="517" max="517" width="8.54296875" style="2" customWidth="1"/>
    <col min="518" max="518" width="0" style="2" hidden="1" customWidth="1"/>
    <col min="519" max="519" width="44.81640625" style="2" customWidth="1"/>
    <col min="520" max="521" width="9.1796875" style="2"/>
    <col min="522" max="522" width="3.1796875" style="2" customWidth="1"/>
    <col min="523" max="523" width="3.81640625" style="2" customWidth="1"/>
    <col min="524" max="524" width="8.54296875" style="2" customWidth="1"/>
    <col min="525" max="525" width="8.81640625" style="2" customWidth="1"/>
    <col min="526" max="526" width="7.453125" style="2" customWidth="1"/>
    <col min="527" max="527" width="8.26953125" style="2" customWidth="1"/>
    <col min="528" max="528" width="8" style="2" customWidth="1"/>
    <col min="529" max="529" width="8.1796875" style="2" customWidth="1"/>
    <col min="530" max="530" width="9" style="2" customWidth="1"/>
    <col min="531" max="531" width="9.1796875" style="2" customWidth="1"/>
    <col min="532" max="532" width="8.54296875" style="2" customWidth="1"/>
    <col min="533" max="533" width="11.453125" style="2" customWidth="1"/>
    <col min="534" max="768" width="9.1796875" style="2"/>
    <col min="769" max="769" width="6.7265625" style="2" customWidth="1"/>
    <col min="770" max="770" width="42.1796875" style="2" customWidth="1"/>
    <col min="771" max="771" width="9.1796875" style="2"/>
    <col min="772" max="772" width="17.453125" style="2" customWidth="1"/>
    <col min="773" max="773" width="8.54296875" style="2" customWidth="1"/>
    <col min="774" max="774" width="0" style="2" hidden="1" customWidth="1"/>
    <col min="775" max="775" width="44.81640625" style="2" customWidth="1"/>
    <col min="776" max="777" width="9.1796875" style="2"/>
    <col min="778" max="778" width="3.1796875" style="2" customWidth="1"/>
    <col min="779" max="779" width="3.81640625" style="2" customWidth="1"/>
    <col min="780" max="780" width="8.54296875" style="2" customWidth="1"/>
    <col min="781" max="781" width="8.81640625" style="2" customWidth="1"/>
    <col min="782" max="782" width="7.453125" style="2" customWidth="1"/>
    <col min="783" max="783" width="8.26953125" style="2" customWidth="1"/>
    <col min="784" max="784" width="8" style="2" customWidth="1"/>
    <col min="785" max="785" width="8.1796875" style="2" customWidth="1"/>
    <col min="786" max="786" width="9" style="2" customWidth="1"/>
    <col min="787" max="787" width="9.1796875" style="2" customWidth="1"/>
    <col min="788" max="788" width="8.54296875" style="2" customWidth="1"/>
    <col min="789" max="789" width="11.453125" style="2" customWidth="1"/>
    <col min="790" max="1024" width="9.1796875" style="2"/>
    <col min="1025" max="1025" width="6.7265625" style="2" customWidth="1"/>
    <col min="1026" max="1026" width="42.1796875" style="2" customWidth="1"/>
    <col min="1027" max="1027" width="9.1796875" style="2"/>
    <col min="1028" max="1028" width="17.453125" style="2" customWidth="1"/>
    <col min="1029" max="1029" width="8.54296875" style="2" customWidth="1"/>
    <col min="1030" max="1030" width="0" style="2" hidden="1" customWidth="1"/>
    <col min="1031" max="1031" width="44.81640625" style="2" customWidth="1"/>
    <col min="1032" max="1033" width="9.1796875" style="2"/>
    <col min="1034" max="1034" width="3.1796875" style="2" customWidth="1"/>
    <col min="1035" max="1035" width="3.81640625" style="2" customWidth="1"/>
    <col min="1036" max="1036" width="8.54296875" style="2" customWidth="1"/>
    <col min="1037" max="1037" width="8.81640625" style="2" customWidth="1"/>
    <col min="1038" max="1038" width="7.453125" style="2" customWidth="1"/>
    <col min="1039" max="1039" width="8.26953125" style="2" customWidth="1"/>
    <col min="1040" max="1040" width="8" style="2" customWidth="1"/>
    <col min="1041" max="1041" width="8.1796875" style="2" customWidth="1"/>
    <col min="1042" max="1042" width="9" style="2" customWidth="1"/>
    <col min="1043" max="1043" width="9.1796875" style="2" customWidth="1"/>
    <col min="1044" max="1044" width="8.54296875" style="2" customWidth="1"/>
    <col min="1045" max="1045" width="11.453125" style="2" customWidth="1"/>
    <col min="1046" max="1280" width="9.1796875" style="2"/>
    <col min="1281" max="1281" width="6.7265625" style="2" customWidth="1"/>
    <col min="1282" max="1282" width="42.1796875" style="2" customWidth="1"/>
    <col min="1283" max="1283" width="9.1796875" style="2"/>
    <col min="1284" max="1284" width="17.453125" style="2" customWidth="1"/>
    <col min="1285" max="1285" width="8.54296875" style="2" customWidth="1"/>
    <col min="1286" max="1286" width="0" style="2" hidden="1" customWidth="1"/>
    <col min="1287" max="1287" width="44.81640625" style="2" customWidth="1"/>
    <col min="1288" max="1289" width="9.1796875" style="2"/>
    <col min="1290" max="1290" width="3.1796875" style="2" customWidth="1"/>
    <col min="1291" max="1291" width="3.81640625" style="2" customWidth="1"/>
    <col min="1292" max="1292" width="8.54296875" style="2" customWidth="1"/>
    <col min="1293" max="1293" width="8.81640625" style="2" customWidth="1"/>
    <col min="1294" max="1294" width="7.453125" style="2" customWidth="1"/>
    <col min="1295" max="1295" width="8.26953125" style="2" customWidth="1"/>
    <col min="1296" max="1296" width="8" style="2" customWidth="1"/>
    <col min="1297" max="1297" width="8.1796875" style="2" customWidth="1"/>
    <col min="1298" max="1298" width="9" style="2" customWidth="1"/>
    <col min="1299" max="1299" width="9.1796875" style="2" customWidth="1"/>
    <col min="1300" max="1300" width="8.54296875" style="2" customWidth="1"/>
    <col min="1301" max="1301" width="11.453125" style="2" customWidth="1"/>
    <col min="1302" max="1536" width="9.1796875" style="2"/>
    <col min="1537" max="1537" width="6.7265625" style="2" customWidth="1"/>
    <col min="1538" max="1538" width="42.1796875" style="2" customWidth="1"/>
    <col min="1539" max="1539" width="9.1796875" style="2"/>
    <col min="1540" max="1540" width="17.453125" style="2" customWidth="1"/>
    <col min="1541" max="1541" width="8.54296875" style="2" customWidth="1"/>
    <col min="1542" max="1542" width="0" style="2" hidden="1" customWidth="1"/>
    <col min="1543" max="1543" width="44.81640625" style="2" customWidth="1"/>
    <col min="1544" max="1545" width="9.1796875" style="2"/>
    <col min="1546" max="1546" width="3.1796875" style="2" customWidth="1"/>
    <col min="1547" max="1547" width="3.81640625" style="2" customWidth="1"/>
    <col min="1548" max="1548" width="8.54296875" style="2" customWidth="1"/>
    <col min="1549" max="1549" width="8.81640625" style="2" customWidth="1"/>
    <col min="1550" max="1550" width="7.453125" style="2" customWidth="1"/>
    <col min="1551" max="1551" width="8.26953125" style="2" customWidth="1"/>
    <col min="1552" max="1552" width="8" style="2" customWidth="1"/>
    <col min="1553" max="1553" width="8.1796875" style="2" customWidth="1"/>
    <col min="1554" max="1554" width="9" style="2" customWidth="1"/>
    <col min="1555" max="1555" width="9.1796875" style="2" customWidth="1"/>
    <col min="1556" max="1556" width="8.54296875" style="2" customWidth="1"/>
    <col min="1557" max="1557" width="11.453125" style="2" customWidth="1"/>
    <col min="1558" max="1792" width="9.1796875" style="2"/>
    <col min="1793" max="1793" width="6.7265625" style="2" customWidth="1"/>
    <col min="1794" max="1794" width="42.1796875" style="2" customWidth="1"/>
    <col min="1795" max="1795" width="9.1796875" style="2"/>
    <col min="1796" max="1796" width="17.453125" style="2" customWidth="1"/>
    <col min="1797" max="1797" width="8.54296875" style="2" customWidth="1"/>
    <col min="1798" max="1798" width="0" style="2" hidden="1" customWidth="1"/>
    <col min="1799" max="1799" width="44.81640625" style="2" customWidth="1"/>
    <col min="1800" max="1801" width="9.1796875" style="2"/>
    <col min="1802" max="1802" width="3.1796875" style="2" customWidth="1"/>
    <col min="1803" max="1803" width="3.81640625" style="2" customWidth="1"/>
    <col min="1804" max="1804" width="8.54296875" style="2" customWidth="1"/>
    <col min="1805" max="1805" width="8.81640625" style="2" customWidth="1"/>
    <col min="1806" max="1806" width="7.453125" style="2" customWidth="1"/>
    <col min="1807" max="1807" width="8.26953125" style="2" customWidth="1"/>
    <col min="1808" max="1808" width="8" style="2" customWidth="1"/>
    <col min="1809" max="1809" width="8.1796875" style="2" customWidth="1"/>
    <col min="1810" max="1810" width="9" style="2" customWidth="1"/>
    <col min="1811" max="1811" width="9.1796875" style="2" customWidth="1"/>
    <col min="1812" max="1812" width="8.54296875" style="2" customWidth="1"/>
    <col min="1813" max="1813" width="11.453125" style="2" customWidth="1"/>
    <col min="1814" max="2048" width="9.1796875" style="2"/>
    <col min="2049" max="2049" width="6.7265625" style="2" customWidth="1"/>
    <col min="2050" max="2050" width="42.1796875" style="2" customWidth="1"/>
    <col min="2051" max="2051" width="9.1796875" style="2"/>
    <col min="2052" max="2052" width="17.453125" style="2" customWidth="1"/>
    <col min="2053" max="2053" width="8.54296875" style="2" customWidth="1"/>
    <col min="2054" max="2054" width="0" style="2" hidden="1" customWidth="1"/>
    <col min="2055" max="2055" width="44.81640625" style="2" customWidth="1"/>
    <col min="2056" max="2057" width="9.1796875" style="2"/>
    <col min="2058" max="2058" width="3.1796875" style="2" customWidth="1"/>
    <col min="2059" max="2059" width="3.81640625" style="2" customWidth="1"/>
    <col min="2060" max="2060" width="8.54296875" style="2" customWidth="1"/>
    <col min="2061" max="2061" width="8.81640625" style="2" customWidth="1"/>
    <col min="2062" max="2062" width="7.453125" style="2" customWidth="1"/>
    <col min="2063" max="2063" width="8.26953125" style="2" customWidth="1"/>
    <col min="2064" max="2064" width="8" style="2" customWidth="1"/>
    <col min="2065" max="2065" width="8.1796875" style="2" customWidth="1"/>
    <col min="2066" max="2066" width="9" style="2" customWidth="1"/>
    <col min="2067" max="2067" width="9.1796875" style="2" customWidth="1"/>
    <col min="2068" max="2068" width="8.54296875" style="2" customWidth="1"/>
    <col min="2069" max="2069" width="11.453125" style="2" customWidth="1"/>
    <col min="2070" max="2304" width="9.1796875" style="2"/>
    <col min="2305" max="2305" width="6.7265625" style="2" customWidth="1"/>
    <col min="2306" max="2306" width="42.1796875" style="2" customWidth="1"/>
    <col min="2307" max="2307" width="9.1796875" style="2"/>
    <col min="2308" max="2308" width="17.453125" style="2" customWidth="1"/>
    <col min="2309" max="2309" width="8.54296875" style="2" customWidth="1"/>
    <col min="2310" max="2310" width="0" style="2" hidden="1" customWidth="1"/>
    <col min="2311" max="2311" width="44.81640625" style="2" customWidth="1"/>
    <col min="2312" max="2313" width="9.1796875" style="2"/>
    <col min="2314" max="2314" width="3.1796875" style="2" customWidth="1"/>
    <col min="2315" max="2315" width="3.81640625" style="2" customWidth="1"/>
    <col min="2316" max="2316" width="8.54296875" style="2" customWidth="1"/>
    <col min="2317" max="2317" width="8.81640625" style="2" customWidth="1"/>
    <col min="2318" max="2318" width="7.453125" style="2" customWidth="1"/>
    <col min="2319" max="2319" width="8.26953125" style="2" customWidth="1"/>
    <col min="2320" max="2320" width="8" style="2" customWidth="1"/>
    <col min="2321" max="2321" width="8.1796875" style="2" customWidth="1"/>
    <col min="2322" max="2322" width="9" style="2" customWidth="1"/>
    <col min="2323" max="2323" width="9.1796875" style="2" customWidth="1"/>
    <col min="2324" max="2324" width="8.54296875" style="2" customWidth="1"/>
    <col min="2325" max="2325" width="11.453125" style="2" customWidth="1"/>
    <col min="2326" max="2560" width="9.1796875" style="2"/>
    <col min="2561" max="2561" width="6.7265625" style="2" customWidth="1"/>
    <col min="2562" max="2562" width="42.1796875" style="2" customWidth="1"/>
    <col min="2563" max="2563" width="9.1796875" style="2"/>
    <col min="2564" max="2564" width="17.453125" style="2" customWidth="1"/>
    <col min="2565" max="2565" width="8.54296875" style="2" customWidth="1"/>
    <col min="2566" max="2566" width="0" style="2" hidden="1" customWidth="1"/>
    <col min="2567" max="2567" width="44.81640625" style="2" customWidth="1"/>
    <col min="2568" max="2569" width="9.1796875" style="2"/>
    <col min="2570" max="2570" width="3.1796875" style="2" customWidth="1"/>
    <col min="2571" max="2571" width="3.81640625" style="2" customWidth="1"/>
    <col min="2572" max="2572" width="8.54296875" style="2" customWidth="1"/>
    <col min="2573" max="2573" width="8.81640625" style="2" customWidth="1"/>
    <col min="2574" max="2574" width="7.453125" style="2" customWidth="1"/>
    <col min="2575" max="2575" width="8.26953125" style="2" customWidth="1"/>
    <col min="2576" max="2576" width="8" style="2" customWidth="1"/>
    <col min="2577" max="2577" width="8.1796875" style="2" customWidth="1"/>
    <col min="2578" max="2578" width="9" style="2" customWidth="1"/>
    <col min="2579" max="2579" width="9.1796875" style="2" customWidth="1"/>
    <col min="2580" max="2580" width="8.54296875" style="2" customWidth="1"/>
    <col min="2581" max="2581" width="11.453125" style="2" customWidth="1"/>
    <col min="2582" max="2816" width="9.1796875" style="2"/>
    <col min="2817" max="2817" width="6.7265625" style="2" customWidth="1"/>
    <col min="2818" max="2818" width="42.1796875" style="2" customWidth="1"/>
    <col min="2819" max="2819" width="9.1796875" style="2"/>
    <col min="2820" max="2820" width="17.453125" style="2" customWidth="1"/>
    <col min="2821" max="2821" width="8.54296875" style="2" customWidth="1"/>
    <col min="2822" max="2822" width="0" style="2" hidden="1" customWidth="1"/>
    <col min="2823" max="2823" width="44.81640625" style="2" customWidth="1"/>
    <col min="2824" max="2825" width="9.1796875" style="2"/>
    <col min="2826" max="2826" width="3.1796875" style="2" customWidth="1"/>
    <col min="2827" max="2827" width="3.81640625" style="2" customWidth="1"/>
    <col min="2828" max="2828" width="8.54296875" style="2" customWidth="1"/>
    <col min="2829" max="2829" width="8.81640625" style="2" customWidth="1"/>
    <col min="2830" max="2830" width="7.453125" style="2" customWidth="1"/>
    <col min="2831" max="2831" width="8.26953125" style="2" customWidth="1"/>
    <col min="2832" max="2832" width="8" style="2" customWidth="1"/>
    <col min="2833" max="2833" width="8.1796875" style="2" customWidth="1"/>
    <col min="2834" max="2834" width="9" style="2" customWidth="1"/>
    <col min="2835" max="2835" width="9.1796875" style="2" customWidth="1"/>
    <col min="2836" max="2836" width="8.54296875" style="2" customWidth="1"/>
    <col min="2837" max="2837" width="11.453125" style="2" customWidth="1"/>
    <col min="2838" max="3072" width="9.1796875" style="2"/>
    <col min="3073" max="3073" width="6.7265625" style="2" customWidth="1"/>
    <col min="3074" max="3074" width="42.1796875" style="2" customWidth="1"/>
    <col min="3075" max="3075" width="9.1796875" style="2"/>
    <col min="3076" max="3076" width="17.453125" style="2" customWidth="1"/>
    <col min="3077" max="3077" width="8.54296875" style="2" customWidth="1"/>
    <col min="3078" max="3078" width="0" style="2" hidden="1" customWidth="1"/>
    <col min="3079" max="3079" width="44.81640625" style="2" customWidth="1"/>
    <col min="3080" max="3081" width="9.1796875" style="2"/>
    <col min="3082" max="3082" width="3.1796875" style="2" customWidth="1"/>
    <col min="3083" max="3083" width="3.81640625" style="2" customWidth="1"/>
    <col min="3084" max="3084" width="8.54296875" style="2" customWidth="1"/>
    <col min="3085" max="3085" width="8.81640625" style="2" customWidth="1"/>
    <col min="3086" max="3086" width="7.453125" style="2" customWidth="1"/>
    <col min="3087" max="3087" width="8.26953125" style="2" customWidth="1"/>
    <col min="3088" max="3088" width="8" style="2" customWidth="1"/>
    <col min="3089" max="3089" width="8.1796875" style="2" customWidth="1"/>
    <col min="3090" max="3090" width="9" style="2" customWidth="1"/>
    <col min="3091" max="3091" width="9.1796875" style="2" customWidth="1"/>
    <col min="3092" max="3092" width="8.54296875" style="2" customWidth="1"/>
    <col min="3093" max="3093" width="11.453125" style="2" customWidth="1"/>
    <col min="3094" max="3328" width="9.1796875" style="2"/>
    <col min="3329" max="3329" width="6.7265625" style="2" customWidth="1"/>
    <col min="3330" max="3330" width="42.1796875" style="2" customWidth="1"/>
    <col min="3331" max="3331" width="9.1796875" style="2"/>
    <col min="3332" max="3332" width="17.453125" style="2" customWidth="1"/>
    <col min="3333" max="3333" width="8.54296875" style="2" customWidth="1"/>
    <col min="3334" max="3334" width="0" style="2" hidden="1" customWidth="1"/>
    <col min="3335" max="3335" width="44.81640625" style="2" customWidth="1"/>
    <col min="3336" max="3337" width="9.1796875" style="2"/>
    <col min="3338" max="3338" width="3.1796875" style="2" customWidth="1"/>
    <col min="3339" max="3339" width="3.81640625" style="2" customWidth="1"/>
    <col min="3340" max="3340" width="8.54296875" style="2" customWidth="1"/>
    <col min="3341" max="3341" width="8.81640625" style="2" customWidth="1"/>
    <col min="3342" max="3342" width="7.453125" style="2" customWidth="1"/>
    <col min="3343" max="3343" width="8.26953125" style="2" customWidth="1"/>
    <col min="3344" max="3344" width="8" style="2" customWidth="1"/>
    <col min="3345" max="3345" width="8.1796875" style="2" customWidth="1"/>
    <col min="3346" max="3346" width="9" style="2" customWidth="1"/>
    <col min="3347" max="3347" width="9.1796875" style="2" customWidth="1"/>
    <col min="3348" max="3348" width="8.54296875" style="2" customWidth="1"/>
    <col min="3349" max="3349" width="11.453125" style="2" customWidth="1"/>
    <col min="3350" max="3584" width="9.1796875" style="2"/>
    <col min="3585" max="3585" width="6.7265625" style="2" customWidth="1"/>
    <col min="3586" max="3586" width="42.1796875" style="2" customWidth="1"/>
    <col min="3587" max="3587" width="9.1796875" style="2"/>
    <col min="3588" max="3588" width="17.453125" style="2" customWidth="1"/>
    <col min="3589" max="3589" width="8.54296875" style="2" customWidth="1"/>
    <col min="3590" max="3590" width="0" style="2" hidden="1" customWidth="1"/>
    <col min="3591" max="3591" width="44.81640625" style="2" customWidth="1"/>
    <col min="3592" max="3593" width="9.1796875" style="2"/>
    <col min="3594" max="3594" width="3.1796875" style="2" customWidth="1"/>
    <col min="3595" max="3595" width="3.81640625" style="2" customWidth="1"/>
    <col min="3596" max="3596" width="8.54296875" style="2" customWidth="1"/>
    <col min="3597" max="3597" width="8.81640625" style="2" customWidth="1"/>
    <col min="3598" max="3598" width="7.453125" style="2" customWidth="1"/>
    <col min="3599" max="3599" width="8.26953125" style="2" customWidth="1"/>
    <col min="3600" max="3600" width="8" style="2" customWidth="1"/>
    <col min="3601" max="3601" width="8.1796875" style="2" customWidth="1"/>
    <col min="3602" max="3602" width="9" style="2" customWidth="1"/>
    <col min="3603" max="3603" width="9.1796875" style="2" customWidth="1"/>
    <col min="3604" max="3604" width="8.54296875" style="2" customWidth="1"/>
    <col min="3605" max="3605" width="11.453125" style="2" customWidth="1"/>
    <col min="3606" max="3840" width="9.1796875" style="2"/>
    <col min="3841" max="3841" width="6.7265625" style="2" customWidth="1"/>
    <col min="3842" max="3842" width="42.1796875" style="2" customWidth="1"/>
    <col min="3843" max="3843" width="9.1796875" style="2"/>
    <col min="3844" max="3844" width="17.453125" style="2" customWidth="1"/>
    <col min="3845" max="3845" width="8.54296875" style="2" customWidth="1"/>
    <col min="3846" max="3846" width="0" style="2" hidden="1" customWidth="1"/>
    <col min="3847" max="3847" width="44.81640625" style="2" customWidth="1"/>
    <col min="3848" max="3849" width="9.1796875" style="2"/>
    <col min="3850" max="3850" width="3.1796875" style="2" customWidth="1"/>
    <col min="3851" max="3851" width="3.81640625" style="2" customWidth="1"/>
    <col min="3852" max="3852" width="8.54296875" style="2" customWidth="1"/>
    <col min="3853" max="3853" width="8.81640625" style="2" customWidth="1"/>
    <col min="3854" max="3854" width="7.453125" style="2" customWidth="1"/>
    <col min="3855" max="3855" width="8.26953125" style="2" customWidth="1"/>
    <col min="3856" max="3856" width="8" style="2" customWidth="1"/>
    <col min="3857" max="3857" width="8.1796875" style="2" customWidth="1"/>
    <col min="3858" max="3858" width="9" style="2" customWidth="1"/>
    <col min="3859" max="3859" width="9.1796875" style="2" customWidth="1"/>
    <col min="3860" max="3860" width="8.54296875" style="2" customWidth="1"/>
    <col min="3861" max="3861" width="11.453125" style="2" customWidth="1"/>
    <col min="3862" max="4096" width="9.1796875" style="2"/>
    <col min="4097" max="4097" width="6.7265625" style="2" customWidth="1"/>
    <col min="4098" max="4098" width="42.1796875" style="2" customWidth="1"/>
    <col min="4099" max="4099" width="9.1796875" style="2"/>
    <col min="4100" max="4100" width="17.453125" style="2" customWidth="1"/>
    <col min="4101" max="4101" width="8.54296875" style="2" customWidth="1"/>
    <col min="4102" max="4102" width="0" style="2" hidden="1" customWidth="1"/>
    <col min="4103" max="4103" width="44.81640625" style="2" customWidth="1"/>
    <col min="4104" max="4105" width="9.1796875" style="2"/>
    <col min="4106" max="4106" width="3.1796875" style="2" customWidth="1"/>
    <col min="4107" max="4107" width="3.81640625" style="2" customWidth="1"/>
    <col min="4108" max="4108" width="8.54296875" style="2" customWidth="1"/>
    <col min="4109" max="4109" width="8.81640625" style="2" customWidth="1"/>
    <col min="4110" max="4110" width="7.453125" style="2" customWidth="1"/>
    <col min="4111" max="4111" width="8.26953125" style="2" customWidth="1"/>
    <col min="4112" max="4112" width="8" style="2" customWidth="1"/>
    <col min="4113" max="4113" width="8.1796875" style="2" customWidth="1"/>
    <col min="4114" max="4114" width="9" style="2" customWidth="1"/>
    <col min="4115" max="4115" width="9.1796875" style="2" customWidth="1"/>
    <col min="4116" max="4116" width="8.54296875" style="2" customWidth="1"/>
    <col min="4117" max="4117" width="11.453125" style="2" customWidth="1"/>
    <col min="4118" max="4352" width="9.1796875" style="2"/>
    <col min="4353" max="4353" width="6.7265625" style="2" customWidth="1"/>
    <col min="4354" max="4354" width="42.1796875" style="2" customWidth="1"/>
    <col min="4355" max="4355" width="9.1796875" style="2"/>
    <col min="4356" max="4356" width="17.453125" style="2" customWidth="1"/>
    <col min="4357" max="4357" width="8.54296875" style="2" customWidth="1"/>
    <col min="4358" max="4358" width="0" style="2" hidden="1" customWidth="1"/>
    <col min="4359" max="4359" width="44.81640625" style="2" customWidth="1"/>
    <col min="4360" max="4361" width="9.1796875" style="2"/>
    <col min="4362" max="4362" width="3.1796875" style="2" customWidth="1"/>
    <col min="4363" max="4363" width="3.81640625" style="2" customWidth="1"/>
    <col min="4364" max="4364" width="8.54296875" style="2" customWidth="1"/>
    <col min="4365" max="4365" width="8.81640625" style="2" customWidth="1"/>
    <col min="4366" max="4366" width="7.453125" style="2" customWidth="1"/>
    <col min="4367" max="4367" width="8.26953125" style="2" customWidth="1"/>
    <col min="4368" max="4368" width="8" style="2" customWidth="1"/>
    <col min="4369" max="4369" width="8.1796875" style="2" customWidth="1"/>
    <col min="4370" max="4370" width="9" style="2" customWidth="1"/>
    <col min="4371" max="4371" width="9.1796875" style="2" customWidth="1"/>
    <col min="4372" max="4372" width="8.54296875" style="2" customWidth="1"/>
    <col min="4373" max="4373" width="11.453125" style="2" customWidth="1"/>
    <col min="4374" max="4608" width="9.1796875" style="2"/>
    <col min="4609" max="4609" width="6.7265625" style="2" customWidth="1"/>
    <col min="4610" max="4610" width="42.1796875" style="2" customWidth="1"/>
    <col min="4611" max="4611" width="9.1796875" style="2"/>
    <col min="4612" max="4612" width="17.453125" style="2" customWidth="1"/>
    <col min="4613" max="4613" width="8.54296875" style="2" customWidth="1"/>
    <col min="4614" max="4614" width="0" style="2" hidden="1" customWidth="1"/>
    <col min="4615" max="4615" width="44.81640625" style="2" customWidth="1"/>
    <col min="4616" max="4617" width="9.1796875" style="2"/>
    <col min="4618" max="4618" width="3.1796875" style="2" customWidth="1"/>
    <col min="4619" max="4619" width="3.81640625" style="2" customWidth="1"/>
    <col min="4620" max="4620" width="8.54296875" style="2" customWidth="1"/>
    <col min="4621" max="4621" width="8.81640625" style="2" customWidth="1"/>
    <col min="4622" max="4622" width="7.453125" style="2" customWidth="1"/>
    <col min="4623" max="4623" width="8.26953125" style="2" customWidth="1"/>
    <col min="4624" max="4624" width="8" style="2" customWidth="1"/>
    <col min="4625" max="4625" width="8.1796875" style="2" customWidth="1"/>
    <col min="4626" max="4626" width="9" style="2" customWidth="1"/>
    <col min="4627" max="4627" width="9.1796875" style="2" customWidth="1"/>
    <col min="4628" max="4628" width="8.54296875" style="2" customWidth="1"/>
    <col min="4629" max="4629" width="11.453125" style="2" customWidth="1"/>
    <col min="4630" max="4864" width="9.1796875" style="2"/>
    <col min="4865" max="4865" width="6.7265625" style="2" customWidth="1"/>
    <col min="4866" max="4866" width="42.1796875" style="2" customWidth="1"/>
    <col min="4867" max="4867" width="9.1796875" style="2"/>
    <col min="4868" max="4868" width="17.453125" style="2" customWidth="1"/>
    <col min="4869" max="4869" width="8.54296875" style="2" customWidth="1"/>
    <col min="4870" max="4870" width="0" style="2" hidden="1" customWidth="1"/>
    <col min="4871" max="4871" width="44.81640625" style="2" customWidth="1"/>
    <col min="4872" max="4873" width="9.1796875" style="2"/>
    <col min="4874" max="4874" width="3.1796875" style="2" customWidth="1"/>
    <col min="4875" max="4875" width="3.81640625" style="2" customWidth="1"/>
    <col min="4876" max="4876" width="8.54296875" style="2" customWidth="1"/>
    <col min="4877" max="4877" width="8.81640625" style="2" customWidth="1"/>
    <col min="4878" max="4878" width="7.453125" style="2" customWidth="1"/>
    <col min="4879" max="4879" width="8.26953125" style="2" customWidth="1"/>
    <col min="4880" max="4880" width="8" style="2" customWidth="1"/>
    <col min="4881" max="4881" width="8.1796875" style="2" customWidth="1"/>
    <col min="4882" max="4882" width="9" style="2" customWidth="1"/>
    <col min="4883" max="4883" width="9.1796875" style="2" customWidth="1"/>
    <col min="4884" max="4884" width="8.54296875" style="2" customWidth="1"/>
    <col min="4885" max="4885" width="11.453125" style="2" customWidth="1"/>
    <col min="4886" max="5120" width="9.1796875" style="2"/>
    <col min="5121" max="5121" width="6.7265625" style="2" customWidth="1"/>
    <col min="5122" max="5122" width="42.1796875" style="2" customWidth="1"/>
    <col min="5123" max="5123" width="9.1796875" style="2"/>
    <col min="5124" max="5124" width="17.453125" style="2" customWidth="1"/>
    <col min="5125" max="5125" width="8.54296875" style="2" customWidth="1"/>
    <col min="5126" max="5126" width="0" style="2" hidden="1" customWidth="1"/>
    <col min="5127" max="5127" width="44.81640625" style="2" customWidth="1"/>
    <col min="5128" max="5129" width="9.1796875" style="2"/>
    <col min="5130" max="5130" width="3.1796875" style="2" customWidth="1"/>
    <col min="5131" max="5131" width="3.81640625" style="2" customWidth="1"/>
    <col min="5132" max="5132" width="8.54296875" style="2" customWidth="1"/>
    <col min="5133" max="5133" width="8.81640625" style="2" customWidth="1"/>
    <col min="5134" max="5134" width="7.453125" style="2" customWidth="1"/>
    <col min="5135" max="5135" width="8.26953125" style="2" customWidth="1"/>
    <col min="5136" max="5136" width="8" style="2" customWidth="1"/>
    <col min="5137" max="5137" width="8.1796875" style="2" customWidth="1"/>
    <col min="5138" max="5138" width="9" style="2" customWidth="1"/>
    <col min="5139" max="5139" width="9.1796875" style="2" customWidth="1"/>
    <col min="5140" max="5140" width="8.54296875" style="2" customWidth="1"/>
    <col min="5141" max="5141" width="11.453125" style="2" customWidth="1"/>
    <col min="5142" max="5376" width="9.1796875" style="2"/>
    <col min="5377" max="5377" width="6.7265625" style="2" customWidth="1"/>
    <col min="5378" max="5378" width="42.1796875" style="2" customWidth="1"/>
    <col min="5379" max="5379" width="9.1796875" style="2"/>
    <col min="5380" max="5380" width="17.453125" style="2" customWidth="1"/>
    <col min="5381" max="5381" width="8.54296875" style="2" customWidth="1"/>
    <col min="5382" max="5382" width="0" style="2" hidden="1" customWidth="1"/>
    <col min="5383" max="5383" width="44.81640625" style="2" customWidth="1"/>
    <col min="5384" max="5385" width="9.1796875" style="2"/>
    <col min="5386" max="5386" width="3.1796875" style="2" customWidth="1"/>
    <col min="5387" max="5387" width="3.81640625" style="2" customWidth="1"/>
    <col min="5388" max="5388" width="8.54296875" style="2" customWidth="1"/>
    <col min="5389" max="5389" width="8.81640625" style="2" customWidth="1"/>
    <col min="5390" max="5390" width="7.453125" style="2" customWidth="1"/>
    <col min="5391" max="5391" width="8.26953125" style="2" customWidth="1"/>
    <col min="5392" max="5392" width="8" style="2" customWidth="1"/>
    <col min="5393" max="5393" width="8.1796875" style="2" customWidth="1"/>
    <col min="5394" max="5394" width="9" style="2" customWidth="1"/>
    <col min="5395" max="5395" width="9.1796875" style="2" customWidth="1"/>
    <col min="5396" max="5396" width="8.54296875" style="2" customWidth="1"/>
    <col min="5397" max="5397" width="11.453125" style="2" customWidth="1"/>
    <col min="5398" max="5632" width="9.1796875" style="2"/>
    <col min="5633" max="5633" width="6.7265625" style="2" customWidth="1"/>
    <col min="5634" max="5634" width="42.1796875" style="2" customWidth="1"/>
    <col min="5635" max="5635" width="9.1796875" style="2"/>
    <col min="5636" max="5636" width="17.453125" style="2" customWidth="1"/>
    <col min="5637" max="5637" width="8.54296875" style="2" customWidth="1"/>
    <col min="5638" max="5638" width="0" style="2" hidden="1" customWidth="1"/>
    <col min="5639" max="5639" width="44.81640625" style="2" customWidth="1"/>
    <col min="5640" max="5641" width="9.1796875" style="2"/>
    <col min="5642" max="5642" width="3.1796875" style="2" customWidth="1"/>
    <col min="5643" max="5643" width="3.81640625" style="2" customWidth="1"/>
    <col min="5644" max="5644" width="8.54296875" style="2" customWidth="1"/>
    <col min="5645" max="5645" width="8.81640625" style="2" customWidth="1"/>
    <col min="5646" max="5646" width="7.453125" style="2" customWidth="1"/>
    <col min="5647" max="5647" width="8.26953125" style="2" customWidth="1"/>
    <col min="5648" max="5648" width="8" style="2" customWidth="1"/>
    <col min="5649" max="5649" width="8.1796875" style="2" customWidth="1"/>
    <col min="5650" max="5650" width="9" style="2" customWidth="1"/>
    <col min="5651" max="5651" width="9.1796875" style="2" customWidth="1"/>
    <col min="5652" max="5652" width="8.54296875" style="2" customWidth="1"/>
    <col min="5653" max="5653" width="11.453125" style="2" customWidth="1"/>
    <col min="5654" max="5888" width="9.1796875" style="2"/>
    <col min="5889" max="5889" width="6.7265625" style="2" customWidth="1"/>
    <col min="5890" max="5890" width="42.1796875" style="2" customWidth="1"/>
    <col min="5891" max="5891" width="9.1796875" style="2"/>
    <col min="5892" max="5892" width="17.453125" style="2" customWidth="1"/>
    <col min="5893" max="5893" width="8.54296875" style="2" customWidth="1"/>
    <col min="5894" max="5894" width="0" style="2" hidden="1" customWidth="1"/>
    <col min="5895" max="5895" width="44.81640625" style="2" customWidth="1"/>
    <col min="5896" max="5897" width="9.1796875" style="2"/>
    <col min="5898" max="5898" width="3.1796875" style="2" customWidth="1"/>
    <col min="5899" max="5899" width="3.81640625" style="2" customWidth="1"/>
    <col min="5900" max="5900" width="8.54296875" style="2" customWidth="1"/>
    <col min="5901" max="5901" width="8.81640625" style="2" customWidth="1"/>
    <col min="5902" max="5902" width="7.453125" style="2" customWidth="1"/>
    <col min="5903" max="5903" width="8.26953125" style="2" customWidth="1"/>
    <col min="5904" max="5904" width="8" style="2" customWidth="1"/>
    <col min="5905" max="5905" width="8.1796875" style="2" customWidth="1"/>
    <col min="5906" max="5906" width="9" style="2" customWidth="1"/>
    <col min="5907" max="5907" width="9.1796875" style="2" customWidth="1"/>
    <col min="5908" max="5908" width="8.54296875" style="2" customWidth="1"/>
    <col min="5909" max="5909" width="11.453125" style="2" customWidth="1"/>
    <col min="5910" max="6144" width="9.1796875" style="2"/>
    <col min="6145" max="6145" width="6.7265625" style="2" customWidth="1"/>
    <col min="6146" max="6146" width="42.1796875" style="2" customWidth="1"/>
    <col min="6147" max="6147" width="9.1796875" style="2"/>
    <col min="6148" max="6148" width="17.453125" style="2" customWidth="1"/>
    <col min="6149" max="6149" width="8.54296875" style="2" customWidth="1"/>
    <col min="6150" max="6150" width="0" style="2" hidden="1" customWidth="1"/>
    <col min="6151" max="6151" width="44.81640625" style="2" customWidth="1"/>
    <col min="6152" max="6153" width="9.1796875" style="2"/>
    <col min="6154" max="6154" width="3.1796875" style="2" customWidth="1"/>
    <col min="6155" max="6155" width="3.81640625" style="2" customWidth="1"/>
    <col min="6156" max="6156" width="8.54296875" style="2" customWidth="1"/>
    <col min="6157" max="6157" width="8.81640625" style="2" customWidth="1"/>
    <col min="6158" max="6158" width="7.453125" style="2" customWidth="1"/>
    <col min="6159" max="6159" width="8.26953125" style="2" customWidth="1"/>
    <col min="6160" max="6160" width="8" style="2" customWidth="1"/>
    <col min="6161" max="6161" width="8.1796875" style="2" customWidth="1"/>
    <col min="6162" max="6162" width="9" style="2" customWidth="1"/>
    <col min="6163" max="6163" width="9.1796875" style="2" customWidth="1"/>
    <col min="6164" max="6164" width="8.54296875" style="2" customWidth="1"/>
    <col min="6165" max="6165" width="11.453125" style="2" customWidth="1"/>
    <col min="6166" max="6400" width="9.1796875" style="2"/>
    <col min="6401" max="6401" width="6.7265625" style="2" customWidth="1"/>
    <col min="6402" max="6402" width="42.1796875" style="2" customWidth="1"/>
    <col min="6403" max="6403" width="9.1796875" style="2"/>
    <col min="6404" max="6404" width="17.453125" style="2" customWidth="1"/>
    <col min="6405" max="6405" width="8.54296875" style="2" customWidth="1"/>
    <col min="6406" max="6406" width="0" style="2" hidden="1" customWidth="1"/>
    <col min="6407" max="6407" width="44.81640625" style="2" customWidth="1"/>
    <col min="6408" max="6409" width="9.1796875" style="2"/>
    <col min="6410" max="6410" width="3.1796875" style="2" customWidth="1"/>
    <col min="6411" max="6411" width="3.81640625" style="2" customWidth="1"/>
    <col min="6412" max="6412" width="8.54296875" style="2" customWidth="1"/>
    <col min="6413" max="6413" width="8.81640625" style="2" customWidth="1"/>
    <col min="6414" max="6414" width="7.453125" style="2" customWidth="1"/>
    <col min="6415" max="6415" width="8.26953125" style="2" customWidth="1"/>
    <col min="6416" max="6416" width="8" style="2" customWidth="1"/>
    <col min="6417" max="6417" width="8.1796875" style="2" customWidth="1"/>
    <col min="6418" max="6418" width="9" style="2" customWidth="1"/>
    <col min="6419" max="6419" width="9.1796875" style="2" customWidth="1"/>
    <col min="6420" max="6420" width="8.54296875" style="2" customWidth="1"/>
    <col min="6421" max="6421" width="11.453125" style="2" customWidth="1"/>
    <col min="6422" max="6656" width="9.1796875" style="2"/>
    <col min="6657" max="6657" width="6.7265625" style="2" customWidth="1"/>
    <col min="6658" max="6658" width="42.1796875" style="2" customWidth="1"/>
    <col min="6659" max="6659" width="9.1796875" style="2"/>
    <col min="6660" max="6660" width="17.453125" style="2" customWidth="1"/>
    <col min="6661" max="6661" width="8.54296875" style="2" customWidth="1"/>
    <col min="6662" max="6662" width="0" style="2" hidden="1" customWidth="1"/>
    <col min="6663" max="6663" width="44.81640625" style="2" customWidth="1"/>
    <col min="6664" max="6665" width="9.1796875" style="2"/>
    <col min="6666" max="6666" width="3.1796875" style="2" customWidth="1"/>
    <col min="6667" max="6667" width="3.81640625" style="2" customWidth="1"/>
    <col min="6668" max="6668" width="8.54296875" style="2" customWidth="1"/>
    <col min="6669" max="6669" width="8.81640625" style="2" customWidth="1"/>
    <col min="6670" max="6670" width="7.453125" style="2" customWidth="1"/>
    <col min="6671" max="6671" width="8.26953125" style="2" customWidth="1"/>
    <col min="6672" max="6672" width="8" style="2" customWidth="1"/>
    <col min="6673" max="6673" width="8.1796875" style="2" customWidth="1"/>
    <col min="6674" max="6674" width="9" style="2" customWidth="1"/>
    <col min="6675" max="6675" width="9.1796875" style="2" customWidth="1"/>
    <col min="6676" max="6676" width="8.54296875" style="2" customWidth="1"/>
    <col min="6677" max="6677" width="11.453125" style="2" customWidth="1"/>
    <col min="6678" max="6912" width="9.1796875" style="2"/>
    <col min="6913" max="6913" width="6.7265625" style="2" customWidth="1"/>
    <col min="6914" max="6914" width="42.1796875" style="2" customWidth="1"/>
    <col min="6915" max="6915" width="9.1796875" style="2"/>
    <col min="6916" max="6916" width="17.453125" style="2" customWidth="1"/>
    <col min="6917" max="6917" width="8.54296875" style="2" customWidth="1"/>
    <col min="6918" max="6918" width="0" style="2" hidden="1" customWidth="1"/>
    <col min="6919" max="6919" width="44.81640625" style="2" customWidth="1"/>
    <col min="6920" max="6921" width="9.1796875" style="2"/>
    <col min="6922" max="6922" width="3.1796875" style="2" customWidth="1"/>
    <col min="6923" max="6923" width="3.81640625" style="2" customWidth="1"/>
    <col min="6924" max="6924" width="8.54296875" style="2" customWidth="1"/>
    <col min="6925" max="6925" width="8.81640625" style="2" customWidth="1"/>
    <col min="6926" max="6926" width="7.453125" style="2" customWidth="1"/>
    <col min="6927" max="6927" width="8.26953125" style="2" customWidth="1"/>
    <col min="6928" max="6928" width="8" style="2" customWidth="1"/>
    <col min="6929" max="6929" width="8.1796875" style="2" customWidth="1"/>
    <col min="6930" max="6930" width="9" style="2" customWidth="1"/>
    <col min="6931" max="6931" width="9.1796875" style="2" customWidth="1"/>
    <col min="6932" max="6932" width="8.54296875" style="2" customWidth="1"/>
    <col min="6933" max="6933" width="11.453125" style="2" customWidth="1"/>
    <col min="6934" max="7168" width="9.1796875" style="2"/>
    <col min="7169" max="7169" width="6.7265625" style="2" customWidth="1"/>
    <col min="7170" max="7170" width="42.1796875" style="2" customWidth="1"/>
    <col min="7171" max="7171" width="9.1796875" style="2"/>
    <col min="7172" max="7172" width="17.453125" style="2" customWidth="1"/>
    <col min="7173" max="7173" width="8.54296875" style="2" customWidth="1"/>
    <col min="7174" max="7174" width="0" style="2" hidden="1" customWidth="1"/>
    <col min="7175" max="7175" width="44.81640625" style="2" customWidth="1"/>
    <col min="7176" max="7177" width="9.1796875" style="2"/>
    <col min="7178" max="7178" width="3.1796875" style="2" customWidth="1"/>
    <col min="7179" max="7179" width="3.81640625" style="2" customWidth="1"/>
    <col min="7180" max="7180" width="8.54296875" style="2" customWidth="1"/>
    <col min="7181" max="7181" width="8.81640625" style="2" customWidth="1"/>
    <col min="7182" max="7182" width="7.453125" style="2" customWidth="1"/>
    <col min="7183" max="7183" width="8.26953125" style="2" customWidth="1"/>
    <col min="7184" max="7184" width="8" style="2" customWidth="1"/>
    <col min="7185" max="7185" width="8.1796875" style="2" customWidth="1"/>
    <col min="7186" max="7186" width="9" style="2" customWidth="1"/>
    <col min="7187" max="7187" width="9.1796875" style="2" customWidth="1"/>
    <col min="7188" max="7188" width="8.54296875" style="2" customWidth="1"/>
    <col min="7189" max="7189" width="11.453125" style="2" customWidth="1"/>
    <col min="7190" max="7424" width="9.1796875" style="2"/>
    <col min="7425" max="7425" width="6.7265625" style="2" customWidth="1"/>
    <col min="7426" max="7426" width="42.1796875" style="2" customWidth="1"/>
    <col min="7427" max="7427" width="9.1796875" style="2"/>
    <col min="7428" max="7428" width="17.453125" style="2" customWidth="1"/>
    <col min="7429" max="7429" width="8.54296875" style="2" customWidth="1"/>
    <col min="7430" max="7430" width="0" style="2" hidden="1" customWidth="1"/>
    <col min="7431" max="7431" width="44.81640625" style="2" customWidth="1"/>
    <col min="7432" max="7433" width="9.1796875" style="2"/>
    <col min="7434" max="7434" width="3.1796875" style="2" customWidth="1"/>
    <col min="7435" max="7435" width="3.81640625" style="2" customWidth="1"/>
    <col min="7436" max="7436" width="8.54296875" style="2" customWidth="1"/>
    <col min="7437" max="7437" width="8.81640625" style="2" customWidth="1"/>
    <col min="7438" max="7438" width="7.453125" style="2" customWidth="1"/>
    <col min="7439" max="7439" width="8.26953125" style="2" customWidth="1"/>
    <col min="7440" max="7440" width="8" style="2" customWidth="1"/>
    <col min="7441" max="7441" width="8.1796875" style="2" customWidth="1"/>
    <col min="7442" max="7442" width="9" style="2" customWidth="1"/>
    <col min="7443" max="7443" width="9.1796875" style="2" customWidth="1"/>
    <col min="7444" max="7444" width="8.54296875" style="2" customWidth="1"/>
    <col min="7445" max="7445" width="11.453125" style="2" customWidth="1"/>
    <col min="7446" max="7680" width="9.1796875" style="2"/>
    <col min="7681" max="7681" width="6.7265625" style="2" customWidth="1"/>
    <col min="7682" max="7682" width="42.1796875" style="2" customWidth="1"/>
    <col min="7683" max="7683" width="9.1796875" style="2"/>
    <col min="7684" max="7684" width="17.453125" style="2" customWidth="1"/>
    <col min="7685" max="7685" width="8.54296875" style="2" customWidth="1"/>
    <col min="7686" max="7686" width="0" style="2" hidden="1" customWidth="1"/>
    <col min="7687" max="7687" width="44.81640625" style="2" customWidth="1"/>
    <col min="7688" max="7689" width="9.1796875" style="2"/>
    <col min="7690" max="7690" width="3.1796875" style="2" customWidth="1"/>
    <col min="7691" max="7691" width="3.81640625" style="2" customWidth="1"/>
    <col min="7692" max="7692" width="8.54296875" style="2" customWidth="1"/>
    <col min="7693" max="7693" width="8.81640625" style="2" customWidth="1"/>
    <col min="7694" max="7694" width="7.453125" style="2" customWidth="1"/>
    <col min="7695" max="7695" width="8.26953125" style="2" customWidth="1"/>
    <col min="7696" max="7696" width="8" style="2" customWidth="1"/>
    <col min="7697" max="7697" width="8.1796875" style="2" customWidth="1"/>
    <col min="7698" max="7698" width="9" style="2" customWidth="1"/>
    <col min="7699" max="7699" width="9.1796875" style="2" customWidth="1"/>
    <col min="7700" max="7700" width="8.54296875" style="2" customWidth="1"/>
    <col min="7701" max="7701" width="11.453125" style="2" customWidth="1"/>
    <col min="7702" max="7936" width="9.1796875" style="2"/>
    <col min="7937" max="7937" width="6.7265625" style="2" customWidth="1"/>
    <col min="7938" max="7938" width="42.1796875" style="2" customWidth="1"/>
    <col min="7939" max="7939" width="9.1796875" style="2"/>
    <col min="7940" max="7940" width="17.453125" style="2" customWidth="1"/>
    <col min="7941" max="7941" width="8.54296875" style="2" customWidth="1"/>
    <col min="7942" max="7942" width="0" style="2" hidden="1" customWidth="1"/>
    <col min="7943" max="7943" width="44.81640625" style="2" customWidth="1"/>
    <col min="7944" max="7945" width="9.1796875" style="2"/>
    <col min="7946" max="7946" width="3.1796875" style="2" customWidth="1"/>
    <col min="7947" max="7947" width="3.81640625" style="2" customWidth="1"/>
    <col min="7948" max="7948" width="8.54296875" style="2" customWidth="1"/>
    <col min="7949" max="7949" width="8.81640625" style="2" customWidth="1"/>
    <col min="7950" max="7950" width="7.453125" style="2" customWidth="1"/>
    <col min="7951" max="7951" width="8.26953125" style="2" customWidth="1"/>
    <col min="7952" max="7952" width="8" style="2" customWidth="1"/>
    <col min="7953" max="7953" width="8.1796875" style="2" customWidth="1"/>
    <col min="7954" max="7954" width="9" style="2" customWidth="1"/>
    <col min="7955" max="7955" width="9.1796875" style="2" customWidth="1"/>
    <col min="7956" max="7956" width="8.54296875" style="2" customWidth="1"/>
    <col min="7957" max="7957" width="11.453125" style="2" customWidth="1"/>
    <col min="7958" max="8192" width="9.1796875" style="2"/>
    <col min="8193" max="8193" width="6.7265625" style="2" customWidth="1"/>
    <col min="8194" max="8194" width="42.1796875" style="2" customWidth="1"/>
    <col min="8195" max="8195" width="9.1796875" style="2"/>
    <col min="8196" max="8196" width="17.453125" style="2" customWidth="1"/>
    <col min="8197" max="8197" width="8.54296875" style="2" customWidth="1"/>
    <col min="8198" max="8198" width="0" style="2" hidden="1" customWidth="1"/>
    <col min="8199" max="8199" width="44.81640625" style="2" customWidth="1"/>
    <col min="8200" max="8201" width="9.1796875" style="2"/>
    <col min="8202" max="8202" width="3.1796875" style="2" customWidth="1"/>
    <col min="8203" max="8203" width="3.81640625" style="2" customWidth="1"/>
    <col min="8204" max="8204" width="8.54296875" style="2" customWidth="1"/>
    <col min="8205" max="8205" width="8.81640625" style="2" customWidth="1"/>
    <col min="8206" max="8206" width="7.453125" style="2" customWidth="1"/>
    <col min="8207" max="8207" width="8.26953125" style="2" customWidth="1"/>
    <col min="8208" max="8208" width="8" style="2" customWidth="1"/>
    <col min="8209" max="8209" width="8.1796875" style="2" customWidth="1"/>
    <col min="8210" max="8210" width="9" style="2" customWidth="1"/>
    <col min="8211" max="8211" width="9.1796875" style="2" customWidth="1"/>
    <col min="8212" max="8212" width="8.54296875" style="2" customWidth="1"/>
    <col min="8213" max="8213" width="11.453125" style="2" customWidth="1"/>
    <col min="8214" max="8448" width="9.1796875" style="2"/>
    <col min="8449" max="8449" width="6.7265625" style="2" customWidth="1"/>
    <col min="8450" max="8450" width="42.1796875" style="2" customWidth="1"/>
    <col min="8451" max="8451" width="9.1796875" style="2"/>
    <col min="8452" max="8452" width="17.453125" style="2" customWidth="1"/>
    <col min="8453" max="8453" width="8.54296875" style="2" customWidth="1"/>
    <col min="8454" max="8454" width="0" style="2" hidden="1" customWidth="1"/>
    <col min="8455" max="8455" width="44.81640625" style="2" customWidth="1"/>
    <col min="8456" max="8457" width="9.1796875" style="2"/>
    <col min="8458" max="8458" width="3.1796875" style="2" customWidth="1"/>
    <col min="8459" max="8459" width="3.81640625" style="2" customWidth="1"/>
    <col min="8460" max="8460" width="8.54296875" style="2" customWidth="1"/>
    <col min="8461" max="8461" width="8.81640625" style="2" customWidth="1"/>
    <col min="8462" max="8462" width="7.453125" style="2" customWidth="1"/>
    <col min="8463" max="8463" width="8.26953125" style="2" customWidth="1"/>
    <col min="8464" max="8464" width="8" style="2" customWidth="1"/>
    <col min="8465" max="8465" width="8.1796875" style="2" customWidth="1"/>
    <col min="8466" max="8466" width="9" style="2" customWidth="1"/>
    <col min="8467" max="8467" width="9.1796875" style="2" customWidth="1"/>
    <col min="8468" max="8468" width="8.54296875" style="2" customWidth="1"/>
    <col min="8469" max="8469" width="11.453125" style="2" customWidth="1"/>
    <col min="8470" max="8704" width="9.1796875" style="2"/>
    <col min="8705" max="8705" width="6.7265625" style="2" customWidth="1"/>
    <col min="8706" max="8706" width="42.1796875" style="2" customWidth="1"/>
    <col min="8707" max="8707" width="9.1796875" style="2"/>
    <col min="8708" max="8708" width="17.453125" style="2" customWidth="1"/>
    <col min="8709" max="8709" width="8.54296875" style="2" customWidth="1"/>
    <col min="8710" max="8710" width="0" style="2" hidden="1" customWidth="1"/>
    <col min="8711" max="8711" width="44.81640625" style="2" customWidth="1"/>
    <col min="8712" max="8713" width="9.1796875" style="2"/>
    <col min="8714" max="8714" width="3.1796875" style="2" customWidth="1"/>
    <col min="8715" max="8715" width="3.81640625" style="2" customWidth="1"/>
    <col min="8716" max="8716" width="8.54296875" style="2" customWidth="1"/>
    <col min="8717" max="8717" width="8.81640625" style="2" customWidth="1"/>
    <col min="8718" max="8718" width="7.453125" style="2" customWidth="1"/>
    <col min="8719" max="8719" width="8.26953125" style="2" customWidth="1"/>
    <col min="8720" max="8720" width="8" style="2" customWidth="1"/>
    <col min="8721" max="8721" width="8.1796875" style="2" customWidth="1"/>
    <col min="8722" max="8722" width="9" style="2" customWidth="1"/>
    <col min="8723" max="8723" width="9.1796875" style="2" customWidth="1"/>
    <col min="8724" max="8724" width="8.54296875" style="2" customWidth="1"/>
    <col min="8725" max="8725" width="11.453125" style="2" customWidth="1"/>
    <col min="8726" max="8960" width="9.1796875" style="2"/>
    <col min="8961" max="8961" width="6.7265625" style="2" customWidth="1"/>
    <col min="8962" max="8962" width="42.1796875" style="2" customWidth="1"/>
    <col min="8963" max="8963" width="9.1796875" style="2"/>
    <col min="8964" max="8964" width="17.453125" style="2" customWidth="1"/>
    <col min="8965" max="8965" width="8.54296875" style="2" customWidth="1"/>
    <col min="8966" max="8966" width="0" style="2" hidden="1" customWidth="1"/>
    <col min="8967" max="8967" width="44.81640625" style="2" customWidth="1"/>
    <col min="8968" max="8969" width="9.1796875" style="2"/>
    <col min="8970" max="8970" width="3.1796875" style="2" customWidth="1"/>
    <col min="8971" max="8971" width="3.81640625" style="2" customWidth="1"/>
    <col min="8972" max="8972" width="8.54296875" style="2" customWidth="1"/>
    <col min="8973" max="8973" width="8.81640625" style="2" customWidth="1"/>
    <col min="8974" max="8974" width="7.453125" style="2" customWidth="1"/>
    <col min="8975" max="8975" width="8.26953125" style="2" customWidth="1"/>
    <col min="8976" max="8976" width="8" style="2" customWidth="1"/>
    <col min="8977" max="8977" width="8.1796875" style="2" customWidth="1"/>
    <col min="8978" max="8978" width="9" style="2" customWidth="1"/>
    <col min="8979" max="8979" width="9.1796875" style="2" customWidth="1"/>
    <col min="8980" max="8980" width="8.54296875" style="2" customWidth="1"/>
    <col min="8981" max="8981" width="11.453125" style="2" customWidth="1"/>
    <col min="8982" max="9216" width="9.1796875" style="2"/>
    <col min="9217" max="9217" width="6.7265625" style="2" customWidth="1"/>
    <col min="9218" max="9218" width="42.1796875" style="2" customWidth="1"/>
    <col min="9219" max="9219" width="9.1796875" style="2"/>
    <col min="9220" max="9220" width="17.453125" style="2" customWidth="1"/>
    <col min="9221" max="9221" width="8.54296875" style="2" customWidth="1"/>
    <col min="9222" max="9222" width="0" style="2" hidden="1" customWidth="1"/>
    <col min="9223" max="9223" width="44.81640625" style="2" customWidth="1"/>
    <col min="9224" max="9225" width="9.1796875" style="2"/>
    <col min="9226" max="9226" width="3.1796875" style="2" customWidth="1"/>
    <col min="9227" max="9227" width="3.81640625" style="2" customWidth="1"/>
    <col min="9228" max="9228" width="8.54296875" style="2" customWidth="1"/>
    <col min="9229" max="9229" width="8.81640625" style="2" customWidth="1"/>
    <col min="9230" max="9230" width="7.453125" style="2" customWidth="1"/>
    <col min="9231" max="9231" width="8.26953125" style="2" customWidth="1"/>
    <col min="9232" max="9232" width="8" style="2" customWidth="1"/>
    <col min="9233" max="9233" width="8.1796875" style="2" customWidth="1"/>
    <col min="9234" max="9234" width="9" style="2" customWidth="1"/>
    <col min="9235" max="9235" width="9.1796875" style="2" customWidth="1"/>
    <col min="9236" max="9236" width="8.54296875" style="2" customWidth="1"/>
    <col min="9237" max="9237" width="11.453125" style="2" customWidth="1"/>
    <col min="9238" max="9472" width="9.1796875" style="2"/>
    <col min="9473" max="9473" width="6.7265625" style="2" customWidth="1"/>
    <col min="9474" max="9474" width="42.1796875" style="2" customWidth="1"/>
    <col min="9475" max="9475" width="9.1796875" style="2"/>
    <col min="9476" max="9476" width="17.453125" style="2" customWidth="1"/>
    <col min="9477" max="9477" width="8.54296875" style="2" customWidth="1"/>
    <col min="9478" max="9478" width="0" style="2" hidden="1" customWidth="1"/>
    <col min="9479" max="9479" width="44.81640625" style="2" customWidth="1"/>
    <col min="9480" max="9481" width="9.1796875" style="2"/>
    <col min="9482" max="9482" width="3.1796875" style="2" customWidth="1"/>
    <col min="9483" max="9483" width="3.81640625" style="2" customWidth="1"/>
    <col min="9484" max="9484" width="8.54296875" style="2" customWidth="1"/>
    <col min="9485" max="9485" width="8.81640625" style="2" customWidth="1"/>
    <col min="9486" max="9486" width="7.453125" style="2" customWidth="1"/>
    <col min="9487" max="9487" width="8.26953125" style="2" customWidth="1"/>
    <col min="9488" max="9488" width="8" style="2" customWidth="1"/>
    <col min="9489" max="9489" width="8.1796875" style="2" customWidth="1"/>
    <col min="9490" max="9490" width="9" style="2" customWidth="1"/>
    <col min="9491" max="9491" width="9.1796875" style="2" customWidth="1"/>
    <col min="9492" max="9492" width="8.54296875" style="2" customWidth="1"/>
    <col min="9493" max="9493" width="11.453125" style="2" customWidth="1"/>
    <col min="9494" max="9728" width="9.1796875" style="2"/>
    <col min="9729" max="9729" width="6.7265625" style="2" customWidth="1"/>
    <col min="9730" max="9730" width="42.1796875" style="2" customWidth="1"/>
    <col min="9731" max="9731" width="9.1796875" style="2"/>
    <col min="9732" max="9732" width="17.453125" style="2" customWidth="1"/>
    <col min="9733" max="9733" width="8.54296875" style="2" customWidth="1"/>
    <col min="9734" max="9734" width="0" style="2" hidden="1" customWidth="1"/>
    <col min="9735" max="9735" width="44.81640625" style="2" customWidth="1"/>
    <col min="9736" max="9737" width="9.1796875" style="2"/>
    <col min="9738" max="9738" width="3.1796875" style="2" customWidth="1"/>
    <col min="9739" max="9739" width="3.81640625" style="2" customWidth="1"/>
    <col min="9740" max="9740" width="8.54296875" style="2" customWidth="1"/>
    <col min="9741" max="9741" width="8.81640625" style="2" customWidth="1"/>
    <col min="9742" max="9742" width="7.453125" style="2" customWidth="1"/>
    <col min="9743" max="9743" width="8.26953125" style="2" customWidth="1"/>
    <col min="9744" max="9744" width="8" style="2" customWidth="1"/>
    <col min="9745" max="9745" width="8.1796875" style="2" customWidth="1"/>
    <col min="9746" max="9746" width="9" style="2" customWidth="1"/>
    <col min="9747" max="9747" width="9.1796875" style="2" customWidth="1"/>
    <col min="9748" max="9748" width="8.54296875" style="2" customWidth="1"/>
    <col min="9749" max="9749" width="11.453125" style="2" customWidth="1"/>
    <col min="9750" max="9984" width="9.1796875" style="2"/>
    <col min="9985" max="9985" width="6.7265625" style="2" customWidth="1"/>
    <col min="9986" max="9986" width="42.1796875" style="2" customWidth="1"/>
    <col min="9987" max="9987" width="9.1796875" style="2"/>
    <col min="9988" max="9988" width="17.453125" style="2" customWidth="1"/>
    <col min="9989" max="9989" width="8.54296875" style="2" customWidth="1"/>
    <col min="9990" max="9990" width="0" style="2" hidden="1" customWidth="1"/>
    <col min="9991" max="9991" width="44.81640625" style="2" customWidth="1"/>
    <col min="9992" max="9993" width="9.1796875" style="2"/>
    <col min="9994" max="9994" width="3.1796875" style="2" customWidth="1"/>
    <col min="9995" max="9995" width="3.81640625" style="2" customWidth="1"/>
    <col min="9996" max="9996" width="8.54296875" style="2" customWidth="1"/>
    <col min="9997" max="9997" width="8.81640625" style="2" customWidth="1"/>
    <col min="9998" max="9998" width="7.453125" style="2" customWidth="1"/>
    <col min="9999" max="9999" width="8.26953125" style="2" customWidth="1"/>
    <col min="10000" max="10000" width="8" style="2" customWidth="1"/>
    <col min="10001" max="10001" width="8.1796875" style="2" customWidth="1"/>
    <col min="10002" max="10002" width="9" style="2" customWidth="1"/>
    <col min="10003" max="10003" width="9.1796875" style="2" customWidth="1"/>
    <col min="10004" max="10004" width="8.54296875" style="2" customWidth="1"/>
    <col min="10005" max="10005" width="11.453125" style="2" customWidth="1"/>
    <col min="10006" max="10240" width="9.1796875" style="2"/>
    <col min="10241" max="10241" width="6.7265625" style="2" customWidth="1"/>
    <col min="10242" max="10242" width="42.1796875" style="2" customWidth="1"/>
    <col min="10243" max="10243" width="9.1796875" style="2"/>
    <col min="10244" max="10244" width="17.453125" style="2" customWidth="1"/>
    <col min="10245" max="10245" width="8.54296875" style="2" customWidth="1"/>
    <col min="10246" max="10246" width="0" style="2" hidden="1" customWidth="1"/>
    <col min="10247" max="10247" width="44.81640625" style="2" customWidth="1"/>
    <col min="10248" max="10249" width="9.1796875" style="2"/>
    <col min="10250" max="10250" width="3.1796875" style="2" customWidth="1"/>
    <col min="10251" max="10251" width="3.81640625" style="2" customWidth="1"/>
    <col min="10252" max="10252" width="8.54296875" style="2" customWidth="1"/>
    <col min="10253" max="10253" width="8.81640625" style="2" customWidth="1"/>
    <col min="10254" max="10254" width="7.453125" style="2" customWidth="1"/>
    <col min="10255" max="10255" width="8.26953125" style="2" customWidth="1"/>
    <col min="10256" max="10256" width="8" style="2" customWidth="1"/>
    <col min="10257" max="10257" width="8.1796875" style="2" customWidth="1"/>
    <col min="10258" max="10258" width="9" style="2" customWidth="1"/>
    <col min="10259" max="10259" width="9.1796875" style="2" customWidth="1"/>
    <col min="10260" max="10260" width="8.54296875" style="2" customWidth="1"/>
    <col min="10261" max="10261" width="11.453125" style="2" customWidth="1"/>
    <col min="10262" max="10496" width="9.1796875" style="2"/>
    <col min="10497" max="10497" width="6.7265625" style="2" customWidth="1"/>
    <col min="10498" max="10498" width="42.1796875" style="2" customWidth="1"/>
    <col min="10499" max="10499" width="9.1796875" style="2"/>
    <col min="10500" max="10500" width="17.453125" style="2" customWidth="1"/>
    <col min="10501" max="10501" width="8.54296875" style="2" customWidth="1"/>
    <col min="10502" max="10502" width="0" style="2" hidden="1" customWidth="1"/>
    <col min="10503" max="10503" width="44.81640625" style="2" customWidth="1"/>
    <col min="10504" max="10505" width="9.1796875" style="2"/>
    <col min="10506" max="10506" width="3.1796875" style="2" customWidth="1"/>
    <col min="10507" max="10507" width="3.81640625" style="2" customWidth="1"/>
    <col min="10508" max="10508" width="8.54296875" style="2" customWidth="1"/>
    <col min="10509" max="10509" width="8.81640625" style="2" customWidth="1"/>
    <col min="10510" max="10510" width="7.453125" style="2" customWidth="1"/>
    <col min="10511" max="10511" width="8.26953125" style="2" customWidth="1"/>
    <col min="10512" max="10512" width="8" style="2" customWidth="1"/>
    <col min="10513" max="10513" width="8.1796875" style="2" customWidth="1"/>
    <col min="10514" max="10514" width="9" style="2" customWidth="1"/>
    <col min="10515" max="10515" width="9.1796875" style="2" customWidth="1"/>
    <col min="10516" max="10516" width="8.54296875" style="2" customWidth="1"/>
    <col min="10517" max="10517" width="11.453125" style="2" customWidth="1"/>
    <col min="10518" max="10752" width="9.1796875" style="2"/>
    <col min="10753" max="10753" width="6.7265625" style="2" customWidth="1"/>
    <col min="10754" max="10754" width="42.1796875" style="2" customWidth="1"/>
    <col min="10755" max="10755" width="9.1796875" style="2"/>
    <col min="10756" max="10756" width="17.453125" style="2" customWidth="1"/>
    <col min="10757" max="10757" width="8.54296875" style="2" customWidth="1"/>
    <col min="10758" max="10758" width="0" style="2" hidden="1" customWidth="1"/>
    <col min="10759" max="10759" width="44.81640625" style="2" customWidth="1"/>
    <col min="10760" max="10761" width="9.1796875" style="2"/>
    <col min="10762" max="10762" width="3.1796875" style="2" customWidth="1"/>
    <col min="10763" max="10763" width="3.81640625" style="2" customWidth="1"/>
    <col min="10764" max="10764" width="8.54296875" style="2" customWidth="1"/>
    <col min="10765" max="10765" width="8.81640625" style="2" customWidth="1"/>
    <col min="10766" max="10766" width="7.453125" style="2" customWidth="1"/>
    <col min="10767" max="10767" width="8.26953125" style="2" customWidth="1"/>
    <col min="10768" max="10768" width="8" style="2" customWidth="1"/>
    <col min="10769" max="10769" width="8.1796875" style="2" customWidth="1"/>
    <col min="10770" max="10770" width="9" style="2" customWidth="1"/>
    <col min="10771" max="10771" width="9.1796875" style="2" customWidth="1"/>
    <col min="10772" max="10772" width="8.54296875" style="2" customWidth="1"/>
    <col min="10773" max="10773" width="11.453125" style="2" customWidth="1"/>
    <col min="10774" max="11008" width="9.1796875" style="2"/>
    <col min="11009" max="11009" width="6.7265625" style="2" customWidth="1"/>
    <col min="11010" max="11010" width="42.1796875" style="2" customWidth="1"/>
    <col min="11011" max="11011" width="9.1796875" style="2"/>
    <col min="11012" max="11012" width="17.453125" style="2" customWidth="1"/>
    <col min="11013" max="11013" width="8.54296875" style="2" customWidth="1"/>
    <col min="11014" max="11014" width="0" style="2" hidden="1" customWidth="1"/>
    <col min="11015" max="11015" width="44.81640625" style="2" customWidth="1"/>
    <col min="11016" max="11017" width="9.1796875" style="2"/>
    <col min="11018" max="11018" width="3.1796875" style="2" customWidth="1"/>
    <col min="11019" max="11019" width="3.81640625" style="2" customWidth="1"/>
    <col min="11020" max="11020" width="8.54296875" style="2" customWidth="1"/>
    <col min="11021" max="11021" width="8.81640625" style="2" customWidth="1"/>
    <col min="11022" max="11022" width="7.453125" style="2" customWidth="1"/>
    <col min="11023" max="11023" width="8.26953125" style="2" customWidth="1"/>
    <col min="11024" max="11024" width="8" style="2" customWidth="1"/>
    <col min="11025" max="11025" width="8.1796875" style="2" customWidth="1"/>
    <col min="11026" max="11026" width="9" style="2" customWidth="1"/>
    <col min="11027" max="11027" width="9.1796875" style="2" customWidth="1"/>
    <col min="11028" max="11028" width="8.54296875" style="2" customWidth="1"/>
    <col min="11029" max="11029" width="11.453125" style="2" customWidth="1"/>
    <col min="11030" max="11264" width="9.1796875" style="2"/>
    <col min="11265" max="11265" width="6.7265625" style="2" customWidth="1"/>
    <col min="11266" max="11266" width="42.1796875" style="2" customWidth="1"/>
    <col min="11267" max="11267" width="9.1796875" style="2"/>
    <col min="11268" max="11268" width="17.453125" style="2" customWidth="1"/>
    <col min="11269" max="11269" width="8.54296875" style="2" customWidth="1"/>
    <col min="11270" max="11270" width="0" style="2" hidden="1" customWidth="1"/>
    <col min="11271" max="11271" width="44.81640625" style="2" customWidth="1"/>
    <col min="11272" max="11273" width="9.1796875" style="2"/>
    <col min="11274" max="11274" width="3.1796875" style="2" customWidth="1"/>
    <col min="11275" max="11275" width="3.81640625" style="2" customWidth="1"/>
    <col min="11276" max="11276" width="8.54296875" style="2" customWidth="1"/>
    <col min="11277" max="11277" width="8.81640625" style="2" customWidth="1"/>
    <col min="11278" max="11278" width="7.453125" style="2" customWidth="1"/>
    <col min="11279" max="11279" width="8.26953125" style="2" customWidth="1"/>
    <col min="11280" max="11280" width="8" style="2" customWidth="1"/>
    <col min="11281" max="11281" width="8.1796875" style="2" customWidth="1"/>
    <col min="11282" max="11282" width="9" style="2" customWidth="1"/>
    <col min="11283" max="11283" width="9.1796875" style="2" customWidth="1"/>
    <col min="11284" max="11284" width="8.54296875" style="2" customWidth="1"/>
    <col min="11285" max="11285" width="11.453125" style="2" customWidth="1"/>
    <col min="11286" max="11520" width="9.1796875" style="2"/>
    <col min="11521" max="11521" width="6.7265625" style="2" customWidth="1"/>
    <col min="11522" max="11522" width="42.1796875" style="2" customWidth="1"/>
    <col min="11523" max="11523" width="9.1796875" style="2"/>
    <col min="11524" max="11524" width="17.453125" style="2" customWidth="1"/>
    <col min="11525" max="11525" width="8.54296875" style="2" customWidth="1"/>
    <col min="11526" max="11526" width="0" style="2" hidden="1" customWidth="1"/>
    <col min="11527" max="11527" width="44.81640625" style="2" customWidth="1"/>
    <col min="11528" max="11529" width="9.1796875" style="2"/>
    <col min="11530" max="11530" width="3.1796875" style="2" customWidth="1"/>
    <col min="11531" max="11531" width="3.81640625" style="2" customWidth="1"/>
    <col min="11532" max="11532" width="8.54296875" style="2" customWidth="1"/>
    <col min="11533" max="11533" width="8.81640625" style="2" customWidth="1"/>
    <col min="11534" max="11534" width="7.453125" style="2" customWidth="1"/>
    <col min="11535" max="11535" width="8.26953125" style="2" customWidth="1"/>
    <col min="11536" max="11536" width="8" style="2" customWidth="1"/>
    <col min="11537" max="11537" width="8.1796875" style="2" customWidth="1"/>
    <col min="11538" max="11538" width="9" style="2" customWidth="1"/>
    <col min="11539" max="11539" width="9.1796875" style="2" customWidth="1"/>
    <col min="11540" max="11540" width="8.54296875" style="2" customWidth="1"/>
    <col min="11541" max="11541" width="11.453125" style="2" customWidth="1"/>
    <col min="11542" max="11776" width="9.1796875" style="2"/>
    <col min="11777" max="11777" width="6.7265625" style="2" customWidth="1"/>
    <col min="11778" max="11778" width="42.1796875" style="2" customWidth="1"/>
    <col min="11779" max="11779" width="9.1796875" style="2"/>
    <col min="11780" max="11780" width="17.453125" style="2" customWidth="1"/>
    <col min="11781" max="11781" width="8.54296875" style="2" customWidth="1"/>
    <col min="11782" max="11782" width="0" style="2" hidden="1" customWidth="1"/>
    <col min="11783" max="11783" width="44.81640625" style="2" customWidth="1"/>
    <col min="11784" max="11785" width="9.1796875" style="2"/>
    <col min="11786" max="11786" width="3.1796875" style="2" customWidth="1"/>
    <col min="11787" max="11787" width="3.81640625" style="2" customWidth="1"/>
    <col min="11788" max="11788" width="8.54296875" style="2" customWidth="1"/>
    <col min="11789" max="11789" width="8.81640625" style="2" customWidth="1"/>
    <col min="11790" max="11790" width="7.453125" style="2" customWidth="1"/>
    <col min="11791" max="11791" width="8.26953125" style="2" customWidth="1"/>
    <col min="11792" max="11792" width="8" style="2" customWidth="1"/>
    <col min="11793" max="11793" width="8.1796875" style="2" customWidth="1"/>
    <col min="11794" max="11794" width="9" style="2" customWidth="1"/>
    <col min="11795" max="11795" width="9.1796875" style="2" customWidth="1"/>
    <col min="11796" max="11796" width="8.54296875" style="2" customWidth="1"/>
    <col min="11797" max="11797" width="11.453125" style="2" customWidth="1"/>
    <col min="11798" max="12032" width="9.1796875" style="2"/>
    <col min="12033" max="12033" width="6.7265625" style="2" customWidth="1"/>
    <col min="12034" max="12034" width="42.1796875" style="2" customWidth="1"/>
    <col min="12035" max="12035" width="9.1796875" style="2"/>
    <col min="12036" max="12036" width="17.453125" style="2" customWidth="1"/>
    <col min="12037" max="12037" width="8.54296875" style="2" customWidth="1"/>
    <col min="12038" max="12038" width="0" style="2" hidden="1" customWidth="1"/>
    <col min="12039" max="12039" width="44.81640625" style="2" customWidth="1"/>
    <col min="12040" max="12041" width="9.1796875" style="2"/>
    <col min="12042" max="12042" width="3.1796875" style="2" customWidth="1"/>
    <col min="12043" max="12043" width="3.81640625" style="2" customWidth="1"/>
    <col min="12044" max="12044" width="8.54296875" style="2" customWidth="1"/>
    <col min="12045" max="12045" width="8.81640625" style="2" customWidth="1"/>
    <col min="12046" max="12046" width="7.453125" style="2" customWidth="1"/>
    <col min="12047" max="12047" width="8.26953125" style="2" customWidth="1"/>
    <col min="12048" max="12048" width="8" style="2" customWidth="1"/>
    <col min="12049" max="12049" width="8.1796875" style="2" customWidth="1"/>
    <col min="12050" max="12050" width="9" style="2" customWidth="1"/>
    <col min="12051" max="12051" width="9.1796875" style="2" customWidth="1"/>
    <col min="12052" max="12052" width="8.54296875" style="2" customWidth="1"/>
    <col min="12053" max="12053" width="11.453125" style="2" customWidth="1"/>
    <col min="12054" max="12288" width="9.1796875" style="2"/>
    <col min="12289" max="12289" width="6.7265625" style="2" customWidth="1"/>
    <col min="12290" max="12290" width="42.1796875" style="2" customWidth="1"/>
    <col min="12291" max="12291" width="9.1796875" style="2"/>
    <col min="12292" max="12292" width="17.453125" style="2" customWidth="1"/>
    <col min="12293" max="12293" width="8.54296875" style="2" customWidth="1"/>
    <col min="12294" max="12294" width="0" style="2" hidden="1" customWidth="1"/>
    <col min="12295" max="12295" width="44.81640625" style="2" customWidth="1"/>
    <col min="12296" max="12297" width="9.1796875" style="2"/>
    <col min="12298" max="12298" width="3.1796875" style="2" customWidth="1"/>
    <col min="12299" max="12299" width="3.81640625" style="2" customWidth="1"/>
    <col min="12300" max="12300" width="8.54296875" style="2" customWidth="1"/>
    <col min="12301" max="12301" width="8.81640625" style="2" customWidth="1"/>
    <col min="12302" max="12302" width="7.453125" style="2" customWidth="1"/>
    <col min="12303" max="12303" width="8.26953125" style="2" customWidth="1"/>
    <col min="12304" max="12304" width="8" style="2" customWidth="1"/>
    <col min="12305" max="12305" width="8.1796875" style="2" customWidth="1"/>
    <col min="12306" max="12306" width="9" style="2" customWidth="1"/>
    <col min="12307" max="12307" width="9.1796875" style="2" customWidth="1"/>
    <col min="12308" max="12308" width="8.54296875" style="2" customWidth="1"/>
    <col min="12309" max="12309" width="11.453125" style="2" customWidth="1"/>
    <col min="12310" max="12544" width="9.1796875" style="2"/>
    <col min="12545" max="12545" width="6.7265625" style="2" customWidth="1"/>
    <col min="12546" max="12546" width="42.1796875" style="2" customWidth="1"/>
    <col min="12547" max="12547" width="9.1796875" style="2"/>
    <col min="12548" max="12548" width="17.453125" style="2" customWidth="1"/>
    <col min="12549" max="12549" width="8.54296875" style="2" customWidth="1"/>
    <col min="12550" max="12550" width="0" style="2" hidden="1" customWidth="1"/>
    <col min="12551" max="12551" width="44.81640625" style="2" customWidth="1"/>
    <col min="12552" max="12553" width="9.1796875" style="2"/>
    <col min="12554" max="12554" width="3.1796875" style="2" customWidth="1"/>
    <col min="12555" max="12555" width="3.81640625" style="2" customWidth="1"/>
    <col min="12556" max="12556" width="8.54296875" style="2" customWidth="1"/>
    <col min="12557" max="12557" width="8.81640625" style="2" customWidth="1"/>
    <col min="12558" max="12558" width="7.453125" style="2" customWidth="1"/>
    <col min="12559" max="12559" width="8.26953125" style="2" customWidth="1"/>
    <col min="12560" max="12560" width="8" style="2" customWidth="1"/>
    <col min="12561" max="12561" width="8.1796875" style="2" customWidth="1"/>
    <col min="12562" max="12562" width="9" style="2" customWidth="1"/>
    <col min="12563" max="12563" width="9.1796875" style="2" customWidth="1"/>
    <col min="12564" max="12564" width="8.54296875" style="2" customWidth="1"/>
    <col min="12565" max="12565" width="11.453125" style="2" customWidth="1"/>
    <col min="12566" max="12800" width="9.1796875" style="2"/>
    <col min="12801" max="12801" width="6.7265625" style="2" customWidth="1"/>
    <col min="12802" max="12802" width="42.1796875" style="2" customWidth="1"/>
    <col min="12803" max="12803" width="9.1796875" style="2"/>
    <col min="12804" max="12804" width="17.453125" style="2" customWidth="1"/>
    <col min="12805" max="12805" width="8.54296875" style="2" customWidth="1"/>
    <col min="12806" max="12806" width="0" style="2" hidden="1" customWidth="1"/>
    <col min="12807" max="12807" width="44.81640625" style="2" customWidth="1"/>
    <col min="12808" max="12809" width="9.1796875" style="2"/>
    <col min="12810" max="12810" width="3.1796875" style="2" customWidth="1"/>
    <col min="12811" max="12811" width="3.81640625" style="2" customWidth="1"/>
    <col min="12812" max="12812" width="8.54296875" style="2" customWidth="1"/>
    <col min="12813" max="12813" width="8.81640625" style="2" customWidth="1"/>
    <col min="12814" max="12814" width="7.453125" style="2" customWidth="1"/>
    <col min="12815" max="12815" width="8.26953125" style="2" customWidth="1"/>
    <col min="12816" max="12816" width="8" style="2" customWidth="1"/>
    <col min="12817" max="12817" width="8.1796875" style="2" customWidth="1"/>
    <col min="12818" max="12818" width="9" style="2" customWidth="1"/>
    <col min="12819" max="12819" width="9.1796875" style="2" customWidth="1"/>
    <col min="12820" max="12820" width="8.54296875" style="2" customWidth="1"/>
    <col min="12821" max="12821" width="11.453125" style="2" customWidth="1"/>
    <col min="12822" max="13056" width="9.1796875" style="2"/>
    <col min="13057" max="13057" width="6.7265625" style="2" customWidth="1"/>
    <col min="13058" max="13058" width="42.1796875" style="2" customWidth="1"/>
    <col min="13059" max="13059" width="9.1796875" style="2"/>
    <col min="13060" max="13060" width="17.453125" style="2" customWidth="1"/>
    <col min="13061" max="13061" width="8.54296875" style="2" customWidth="1"/>
    <col min="13062" max="13062" width="0" style="2" hidden="1" customWidth="1"/>
    <col min="13063" max="13063" width="44.81640625" style="2" customWidth="1"/>
    <col min="13064" max="13065" width="9.1796875" style="2"/>
    <col min="13066" max="13066" width="3.1796875" style="2" customWidth="1"/>
    <col min="13067" max="13067" width="3.81640625" style="2" customWidth="1"/>
    <col min="13068" max="13068" width="8.54296875" style="2" customWidth="1"/>
    <col min="13069" max="13069" width="8.81640625" style="2" customWidth="1"/>
    <col min="13070" max="13070" width="7.453125" style="2" customWidth="1"/>
    <col min="13071" max="13071" width="8.26953125" style="2" customWidth="1"/>
    <col min="13072" max="13072" width="8" style="2" customWidth="1"/>
    <col min="13073" max="13073" width="8.1796875" style="2" customWidth="1"/>
    <col min="13074" max="13074" width="9" style="2" customWidth="1"/>
    <col min="13075" max="13075" width="9.1796875" style="2" customWidth="1"/>
    <col min="13076" max="13076" width="8.54296875" style="2" customWidth="1"/>
    <col min="13077" max="13077" width="11.453125" style="2" customWidth="1"/>
    <col min="13078" max="13312" width="9.1796875" style="2"/>
    <col min="13313" max="13313" width="6.7265625" style="2" customWidth="1"/>
    <col min="13314" max="13314" width="42.1796875" style="2" customWidth="1"/>
    <col min="13315" max="13315" width="9.1796875" style="2"/>
    <col min="13316" max="13316" width="17.453125" style="2" customWidth="1"/>
    <col min="13317" max="13317" width="8.54296875" style="2" customWidth="1"/>
    <col min="13318" max="13318" width="0" style="2" hidden="1" customWidth="1"/>
    <col min="13319" max="13319" width="44.81640625" style="2" customWidth="1"/>
    <col min="13320" max="13321" width="9.1796875" style="2"/>
    <col min="13322" max="13322" width="3.1796875" style="2" customWidth="1"/>
    <col min="13323" max="13323" width="3.81640625" style="2" customWidth="1"/>
    <col min="13324" max="13324" width="8.54296875" style="2" customWidth="1"/>
    <col min="13325" max="13325" width="8.81640625" style="2" customWidth="1"/>
    <col min="13326" max="13326" width="7.453125" style="2" customWidth="1"/>
    <col min="13327" max="13327" width="8.26953125" style="2" customWidth="1"/>
    <col min="13328" max="13328" width="8" style="2" customWidth="1"/>
    <col min="13329" max="13329" width="8.1796875" style="2" customWidth="1"/>
    <col min="13330" max="13330" width="9" style="2" customWidth="1"/>
    <col min="13331" max="13331" width="9.1796875" style="2" customWidth="1"/>
    <col min="13332" max="13332" width="8.54296875" style="2" customWidth="1"/>
    <col min="13333" max="13333" width="11.453125" style="2" customWidth="1"/>
    <col min="13334" max="13568" width="9.1796875" style="2"/>
    <col min="13569" max="13569" width="6.7265625" style="2" customWidth="1"/>
    <col min="13570" max="13570" width="42.1796875" style="2" customWidth="1"/>
    <col min="13571" max="13571" width="9.1796875" style="2"/>
    <col min="13572" max="13572" width="17.453125" style="2" customWidth="1"/>
    <col min="13573" max="13573" width="8.54296875" style="2" customWidth="1"/>
    <col min="13574" max="13574" width="0" style="2" hidden="1" customWidth="1"/>
    <col min="13575" max="13575" width="44.81640625" style="2" customWidth="1"/>
    <col min="13576" max="13577" width="9.1796875" style="2"/>
    <col min="13578" max="13578" width="3.1796875" style="2" customWidth="1"/>
    <col min="13579" max="13579" width="3.81640625" style="2" customWidth="1"/>
    <col min="13580" max="13580" width="8.54296875" style="2" customWidth="1"/>
    <col min="13581" max="13581" width="8.81640625" style="2" customWidth="1"/>
    <col min="13582" max="13582" width="7.453125" style="2" customWidth="1"/>
    <col min="13583" max="13583" width="8.26953125" style="2" customWidth="1"/>
    <col min="13584" max="13584" width="8" style="2" customWidth="1"/>
    <col min="13585" max="13585" width="8.1796875" style="2" customWidth="1"/>
    <col min="13586" max="13586" width="9" style="2" customWidth="1"/>
    <col min="13587" max="13587" width="9.1796875" style="2" customWidth="1"/>
    <col min="13588" max="13588" width="8.54296875" style="2" customWidth="1"/>
    <col min="13589" max="13589" width="11.453125" style="2" customWidth="1"/>
    <col min="13590" max="13824" width="9.1796875" style="2"/>
    <col min="13825" max="13825" width="6.7265625" style="2" customWidth="1"/>
    <col min="13826" max="13826" width="42.1796875" style="2" customWidth="1"/>
    <col min="13827" max="13827" width="9.1796875" style="2"/>
    <col min="13828" max="13828" width="17.453125" style="2" customWidth="1"/>
    <col min="13829" max="13829" width="8.54296875" style="2" customWidth="1"/>
    <col min="13830" max="13830" width="0" style="2" hidden="1" customWidth="1"/>
    <col min="13831" max="13831" width="44.81640625" style="2" customWidth="1"/>
    <col min="13832" max="13833" width="9.1796875" style="2"/>
    <col min="13834" max="13834" width="3.1796875" style="2" customWidth="1"/>
    <col min="13835" max="13835" width="3.81640625" style="2" customWidth="1"/>
    <col min="13836" max="13836" width="8.54296875" style="2" customWidth="1"/>
    <col min="13837" max="13837" width="8.81640625" style="2" customWidth="1"/>
    <col min="13838" max="13838" width="7.453125" style="2" customWidth="1"/>
    <col min="13839" max="13839" width="8.26953125" style="2" customWidth="1"/>
    <col min="13840" max="13840" width="8" style="2" customWidth="1"/>
    <col min="13841" max="13841" width="8.1796875" style="2" customWidth="1"/>
    <col min="13842" max="13842" width="9" style="2" customWidth="1"/>
    <col min="13843" max="13843" width="9.1796875" style="2" customWidth="1"/>
    <col min="13844" max="13844" width="8.54296875" style="2" customWidth="1"/>
    <col min="13845" max="13845" width="11.453125" style="2" customWidth="1"/>
    <col min="13846" max="14080" width="9.1796875" style="2"/>
    <col min="14081" max="14081" width="6.7265625" style="2" customWidth="1"/>
    <col min="14082" max="14082" width="42.1796875" style="2" customWidth="1"/>
    <col min="14083" max="14083" width="9.1796875" style="2"/>
    <col min="14084" max="14084" width="17.453125" style="2" customWidth="1"/>
    <col min="14085" max="14085" width="8.54296875" style="2" customWidth="1"/>
    <col min="14086" max="14086" width="0" style="2" hidden="1" customWidth="1"/>
    <col min="14087" max="14087" width="44.81640625" style="2" customWidth="1"/>
    <col min="14088" max="14089" width="9.1796875" style="2"/>
    <col min="14090" max="14090" width="3.1796875" style="2" customWidth="1"/>
    <col min="14091" max="14091" width="3.81640625" style="2" customWidth="1"/>
    <col min="14092" max="14092" width="8.54296875" style="2" customWidth="1"/>
    <col min="14093" max="14093" width="8.81640625" style="2" customWidth="1"/>
    <col min="14094" max="14094" width="7.453125" style="2" customWidth="1"/>
    <col min="14095" max="14095" width="8.26953125" style="2" customWidth="1"/>
    <col min="14096" max="14096" width="8" style="2" customWidth="1"/>
    <col min="14097" max="14097" width="8.1796875" style="2" customWidth="1"/>
    <col min="14098" max="14098" width="9" style="2" customWidth="1"/>
    <col min="14099" max="14099" width="9.1796875" style="2" customWidth="1"/>
    <col min="14100" max="14100" width="8.54296875" style="2" customWidth="1"/>
    <col min="14101" max="14101" width="11.453125" style="2" customWidth="1"/>
    <col min="14102" max="14336" width="9.1796875" style="2"/>
    <col min="14337" max="14337" width="6.7265625" style="2" customWidth="1"/>
    <col min="14338" max="14338" width="42.1796875" style="2" customWidth="1"/>
    <col min="14339" max="14339" width="9.1796875" style="2"/>
    <col min="14340" max="14340" width="17.453125" style="2" customWidth="1"/>
    <col min="14341" max="14341" width="8.54296875" style="2" customWidth="1"/>
    <col min="14342" max="14342" width="0" style="2" hidden="1" customWidth="1"/>
    <col min="14343" max="14343" width="44.81640625" style="2" customWidth="1"/>
    <col min="14344" max="14345" width="9.1796875" style="2"/>
    <col min="14346" max="14346" width="3.1796875" style="2" customWidth="1"/>
    <col min="14347" max="14347" width="3.81640625" style="2" customWidth="1"/>
    <col min="14348" max="14348" width="8.54296875" style="2" customWidth="1"/>
    <col min="14349" max="14349" width="8.81640625" style="2" customWidth="1"/>
    <col min="14350" max="14350" width="7.453125" style="2" customWidth="1"/>
    <col min="14351" max="14351" width="8.26953125" style="2" customWidth="1"/>
    <col min="14352" max="14352" width="8" style="2" customWidth="1"/>
    <col min="14353" max="14353" width="8.1796875" style="2" customWidth="1"/>
    <col min="14354" max="14354" width="9" style="2" customWidth="1"/>
    <col min="14355" max="14355" width="9.1796875" style="2" customWidth="1"/>
    <col min="14356" max="14356" width="8.54296875" style="2" customWidth="1"/>
    <col min="14357" max="14357" width="11.453125" style="2" customWidth="1"/>
    <col min="14358" max="14592" width="9.1796875" style="2"/>
    <col min="14593" max="14593" width="6.7265625" style="2" customWidth="1"/>
    <col min="14594" max="14594" width="42.1796875" style="2" customWidth="1"/>
    <col min="14595" max="14595" width="9.1796875" style="2"/>
    <col min="14596" max="14596" width="17.453125" style="2" customWidth="1"/>
    <col min="14597" max="14597" width="8.54296875" style="2" customWidth="1"/>
    <col min="14598" max="14598" width="0" style="2" hidden="1" customWidth="1"/>
    <col min="14599" max="14599" width="44.81640625" style="2" customWidth="1"/>
    <col min="14600" max="14601" width="9.1796875" style="2"/>
    <col min="14602" max="14602" width="3.1796875" style="2" customWidth="1"/>
    <col min="14603" max="14603" width="3.81640625" style="2" customWidth="1"/>
    <col min="14604" max="14604" width="8.54296875" style="2" customWidth="1"/>
    <col min="14605" max="14605" width="8.81640625" style="2" customWidth="1"/>
    <col min="14606" max="14606" width="7.453125" style="2" customWidth="1"/>
    <col min="14607" max="14607" width="8.26953125" style="2" customWidth="1"/>
    <col min="14608" max="14608" width="8" style="2" customWidth="1"/>
    <col min="14609" max="14609" width="8.1796875" style="2" customWidth="1"/>
    <col min="14610" max="14610" width="9" style="2" customWidth="1"/>
    <col min="14611" max="14611" width="9.1796875" style="2" customWidth="1"/>
    <col min="14612" max="14612" width="8.54296875" style="2" customWidth="1"/>
    <col min="14613" max="14613" width="11.453125" style="2" customWidth="1"/>
    <col min="14614" max="14848" width="9.1796875" style="2"/>
    <col min="14849" max="14849" width="6.7265625" style="2" customWidth="1"/>
    <col min="14850" max="14850" width="42.1796875" style="2" customWidth="1"/>
    <col min="14851" max="14851" width="9.1796875" style="2"/>
    <col min="14852" max="14852" width="17.453125" style="2" customWidth="1"/>
    <col min="14853" max="14853" width="8.54296875" style="2" customWidth="1"/>
    <col min="14854" max="14854" width="0" style="2" hidden="1" customWidth="1"/>
    <col min="14855" max="14855" width="44.81640625" style="2" customWidth="1"/>
    <col min="14856" max="14857" width="9.1796875" style="2"/>
    <col min="14858" max="14858" width="3.1796875" style="2" customWidth="1"/>
    <col min="14859" max="14859" width="3.81640625" style="2" customWidth="1"/>
    <col min="14860" max="14860" width="8.54296875" style="2" customWidth="1"/>
    <col min="14861" max="14861" width="8.81640625" style="2" customWidth="1"/>
    <col min="14862" max="14862" width="7.453125" style="2" customWidth="1"/>
    <col min="14863" max="14863" width="8.26953125" style="2" customWidth="1"/>
    <col min="14864" max="14864" width="8" style="2" customWidth="1"/>
    <col min="14865" max="14865" width="8.1796875" style="2" customWidth="1"/>
    <col min="14866" max="14866" width="9" style="2" customWidth="1"/>
    <col min="14867" max="14867" width="9.1796875" style="2" customWidth="1"/>
    <col min="14868" max="14868" width="8.54296875" style="2" customWidth="1"/>
    <col min="14869" max="14869" width="11.453125" style="2" customWidth="1"/>
    <col min="14870" max="15104" width="9.1796875" style="2"/>
    <col min="15105" max="15105" width="6.7265625" style="2" customWidth="1"/>
    <col min="15106" max="15106" width="42.1796875" style="2" customWidth="1"/>
    <col min="15107" max="15107" width="9.1796875" style="2"/>
    <col min="15108" max="15108" width="17.453125" style="2" customWidth="1"/>
    <col min="15109" max="15109" width="8.54296875" style="2" customWidth="1"/>
    <col min="15110" max="15110" width="0" style="2" hidden="1" customWidth="1"/>
    <col min="15111" max="15111" width="44.81640625" style="2" customWidth="1"/>
    <col min="15112" max="15113" width="9.1796875" style="2"/>
    <col min="15114" max="15114" width="3.1796875" style="2" customWidth="1"/>
    <col min="15115" max="15115" width="3.81640625" style="2" customWidth="1"/>
    <col min="15116" max="15116" width="8.54296875" style="2" customWidth="1"/>
    <col min="15117" max="15117" width="8.81640625" style="2" customWidth="1"/>
    <col min="15118" max="15118" width="7.453125" style="2" customWidth="1"/>
    <col min="15119" max="15119" width="8.26953125" style="2" customWidth="1"/>
    <col min="15120" max="15120" width="8" style="2" customWidth="1"/>
    <col min="15121" max="15121" width="8.1796875" style="2" customWidth="1"/>
    <col min="15122" max="15122" width="9" style="2" customWidth="1"/>
    <col min="15123" max="15123" width="9.1796875" style="2" customWidth="1"/>
    <col min="15124" max="15124" width="8.54296875" style="2" customWidth="1"/>
    <col min="15125" max="15125" width="11.453125" style="2" customWidth="1"/>
    <col min="15126" max="15360" width="9.1796875" style="2"/>
    <col min="15361" max="15361" width="6.7265625" style="2" customWidth="1"/>
    <col min="15362" max="15362" width="42.1796875" style="2" customWidth="1"/>
    <col min="15363" max="15363" width="9.1796875" style="2"/>
    <col min="15364" max="15364" width="17.453125" style="2" customWidth="1"/>
    <col min="15365" max="15365" width="8.54296875" style="2" customWidth="1"/>
    <col min="15366" max="15366" width="0" style="2" hidden="1" customWidth="1"/>
    <col min="15367" max="15367" width="44.81640625" style="2" customWidth="1"/>
    <col min="15368" max="15369" width="9.1796875" style="2"/>
    <col min="15370" max="15370" width="3.1796875" style="2" customWidth="1"/>
    <col min="15371" max="15371" width="3.81640625" style="2" customWidth="1"/>
    <col min="15372" max="15372" width="8.54296875" style="2" customWidth="1"/>
    <col min="15373" max="15373" width="8.81640625" style="2" customWidth="1"/>
    <col min="15374" max="15374" width="7.453125" style="2" customWidth="1"/>
    <col min="15375" max="15375" width="8.26953125" style="2" customWidth="1"/>
    <col min="15376" max="15376" width="8" style="2" customWidth="1"/>
    <col min="15377" max="15377" width="8.1796875" style="2" customWidth="1"/>
    <col min="15378" max="15378" width="9" style="2" customWidth="1"/>
    <col min="15379" max="15379" width="9.1796875" style="2" customWidth="1"/>
    <col min="15380" max="15380" width="8.54296875" style="2" customWidth="1"/>
    <col min="15381" max="15381" width="11.453125" style="2" customWidth="1"/>
    <col min="15382" max="15616" width="9.1796875" style="2"/>
    <col min="15617" max="15617" width="6.7265625" style="2" customWidth="1"/>
    <col min="15618" max="15618" width="42.1796875" style="2" customWidth="1"/>
    <col min="15619" max="15619" width="9.1796875" style="2"/>
    <col min="15620" max="15620" width="17.453125" style="2" customWidth="1"/>
    <col min="15621" max="15621" width="8.54296875" style="2" customWidth="1"/>
    <col min="15622" max="15622" width="0" style="2" hidden="1" customWidth="1"/>
    <col min="15623" max="15623" width="44.81640625" style="2" customWidth="1"/>
    <col min="15624" max="15625" width="9.1796875" style="2"/>
    <col min="15626" max="15626" width="3.1796875" style="2" customWidth="1"/>
    <col min="15627" max="15627" width="3.81640625" style="2" customWidth="1"/>
    <col min="15628" max="15628" width="8.54296875" style="2" customWidth="1"/>
    <col min="15629" max="15629" width="8.81640625" style="2" customWidth="1"/>
    <col min="15630" max="15630" width="7.453125" style="2" customWidth="1"/>
    <col min="15631" max="15631" width="8.26953125" style="2" customWidth="1"/>
    <col min="15632" max="15632" width="8" style="2" customWidth="1"/>
    <col min="15633" max="15633" width="8.1796875" style="2" customWidth="1"/>
    <col min="15634" max="15634" width="9" style="2" customWidth="1"/>
    <col min="15635" max="15635" width="9.1796875" style="2" customWidth="1"/>
    <col min="15636" max="15636" width="8.54296875" style="2" customWidth="1"/>
    <col min="15637" max="15637" width="11.453125" style="2" customWidth="1"/>
    <col min="15638" max="15872" width="9.1796875" style="2"/>
    <col min="15873" max="15873" width="6.7265625" style="2" customWidth="1"/>
    <col min="15874" max="15874" width="42.1796875" style="2" customWidth="1"/>
    <col min="15875" max="15875" width="9.1796875" style="2"/>
    <col min="15876" max="15876" width="17.453125" style="2" customWidth="1"/>
    <col min="15877" max="15877" width="8.54296875" style="2" customWidth="1"/>
    <col min="15878" max="15878" width="0" style="2" hidden="1" customWidth="1"/>
    <col min="15879" max="15879" width="44.81640625" style="2" customWidth="1"/>
    <col min="15880" max="15881" width="9.1796875" style="2"/>
    <col min="15882" max="15882" width="3.1796875" style="2" customWidth="1"/>
    <col min="15883" max="15883" width="3.81640625" style="2" customWidth="1"/>
    <col min="15884" max="15884" width="8.54296875" style="2" customWidth="1"/>
    <col min="15885" max="15885" width="8.81640625" style="2" customWidth="1"/>
    <col min="15886" max="15886" width="7.453125" style="2" customWidth="1"/>
    <col min="15887" max="15887" width="8.26953125" style="2" customWidth="1"/>
    <col min="15888" max="15888" width="8" style="2" customWidth="1"/>
    <col min="15889" max="15889" width="8.1796875" style="2" customWidth="1"/>
    <col min="15890" max="15890" width="9" style="2" customWidth="1"/>
    <col min="15891" max="15891" width="9.1796875" style="2" customWidth="1"/>
    <col min="15892" max="15892" width="8.54296875" style="2" customWidth="1"/>
    <col min="15893" max="15893" width="11.453125" style="2" customWidth="1"/>
    <col min="15894" max="16128" width="9.1796875" style="2"/>
    <col min="16129" max="16129" width="6.7265625" style="2" customWidth="1"/>
    <col min="16130" max="16130" width="42.1796875" style="2" customWidth="1"/>
    <col min="16131" max="16131" width="9.1796875" style="2"/>
    <col min="16132" max="16132" width="17.453125" style="2" customWidth="1"/>
    <col min="16133" max="16133" width="8.54296875" style="2" customWidth="1"/>
    <col min="16134" max="16134" width="0" style="2" hidden="1" customWidth="1"/>
    <col min="16135" max="16135" width="44.81640625" style="2" customWidth="1"/>
    <col min="16136" max="16137" width="9.1796875" style="2"/>
    <col min="16138" max="16138" width="3.1796875" style="2" customWidth="1"/>
    <col min="16139" max="16139" width="3.81640625" style="2" customWidth="1"/>
    <col min="16140" max="16140" width="8.54296875" style="2" customWidth="1"/>
    <col min="16141" max="16141" width="8.81640625" style="2" customWidth="1"/>
    <col min="16142" max="16142" width="7.453125" style="2" customWidth="1"/>
    <col min="16143" max="16143" width="8.26953125" style="2" customWidth="1"/>
    <col min="16144" max="16144" width="8" style="2" customWidth="1"/>
    <col min="16145" max="16145" width="8.1796875" style="2" customWidth="1"/>
    <col min="16146" max="16146" width="9" style="2" customWidth="1"/>
    <col min="16147" max="16147" width="9.1796875" style="2" customWidth="1"/>
    <col min="16148" max="16148" width="8.54296875" style="2" customWidth="1"/>
    <col min="16149" max="16149" width="11.453125" style="2" customWidth="1"/>
    <col min="16150" max="16384" width="9.1796875" style="2"/>
  </cols>
  <sheetData>
    <row r="2" spans="2:8" ht="18.5" x14ac:dyDescent="0.45">
      <c r="B2" s="186" t="s">
        <v>288</v>
      </c>
      <c r="G2" s="235" t="s">
        <v>212</v>
      </c>
      <c r="H2" s="2" t="s">
        <v>639</v>
      </c>
    </row>
    <row r="3" spans="2:8" x14ac:dyDescent="0.35">
      <c r="B3" s="236" t="s">
        <v>535</v>
      </c>
    </row>
    <row r="4" spans="2:8" ht="18.5" x14ac:dyDescent="0.45">
      <c r="B4" s="515" t="s">
        <v>750</v>
      </c>
      <c r="G4" s="238"/>
      <c r="H4" s="186" t="s">
        <v>20</v>
      </c>
    </row>
    <row r="16" spans="2:8" x14ac:dyDescent="0.35">
      <c r="B16" s="239" t="s">
        <v>21</v>
      </c>
      <c r="C16" s="240"/>
    </row>
    <row r="17" spans="2:29" x14ac:dyDescent="0.35">
      <c r="B17" s="241" t="s">
        <v>22</v>
      </c>
      <c r="C17" s="242"/>
    </row>
    <row r="18" spans="2:29" ht="15" thickBot="1" x14ac:dyDescent="0.4"/>
    <row r="19" spans="2:29" ht="16" thickTop="1" x14ac:dyDescent="0.35">
      <c r="B19" s="583" t="s">
        <v>465</v>
      </c>
      <c r="C19" s="584"/>
      <c r="D19" s="584"/>
      <c r="E19" s="584"/>
      <c r="F19" s="585"/>
      <c r="G19" s="586"/>
      <c r="H19" s="405"/>
      <c r="I19" s="405"/>
      <c r="J19" s="405"/>
      <c r="K19" s="405"/>
      <c r="L19" s="405"/>
      <c r="M19" s="405"/>
      <c r="N19" s="405"/>
      <c r="O19" s="405"/>
      <c r="P19" s="405"/>
      <c r="Q19" s="405"/>
      <c r="R19" s="405"/>
      <c r="S19" s="405"/>
      <c r="T19" s="405"/>
      <c r="U19" s="405"/>
      <c r="V19" s="405"/>
      <c r="W19" s="405"/>
      <c r="X19" s="405"/>
      <c r="Y19" s="405"/>
      <c r="Z19" s="405"/>
      <c r="AA19" s="405"/>
      <c r="AB19" s="405"/>
      <c r="AC19" s="405"/>
    </row>
    <row r="20" spans="2:29" ht="18.5" x14ac:dyDescent="0.45">
      <c r="B20" s="370" t="s">
        <v>253</v>
      </c>
      <c r="C20" s="369"/>
      <c r="D20" s="385" t="s">
        <v>558</v>
      </c>
      <c r="E20" s="369"/>
      <c r="F20" s="369"/>
      <c r="G20" s="369"/>
      <c r="H20" s="405"/>
      <c r="I20" s="405"/>
      <c r="J20" s="405"/>
      <c r="K20" s="405"/>
      <c r="L20" s="405"/>
      <c r="M20" s="405"/>
      <c r="N20" s="405"/>
      <c r="O20" s="405"/>
      <c r="P20" s="405"/>
      <c r="Q20" s="405"/>
      <c r="R20" s="405"/>
      <c r="S20" s="405"/>
      <c r="T20" s="405"/>
      <c r="U20" s="405"/>
      <c r="V20" s="405"/>
      <c r="W20" s="405"/>
      <c r="X20" s="405"/>
      <c r="Y20" s="405"/>
      <c r="Z20" s="405"/>
      <c r="AA20" s="405"/>
      <c r="AB20" s="405"/>
      <c r="AC20" s="405"/>
    </row>
    <row r="21" spans="2:29" ht="15.5" x14ac:dyDescent="0.35">
      <c r="B21" s="243" t="s">
        <v>23</v>
      </c>
      <c r="C21" s="244" t="s">
        <v>24</v>
      </c>
      <c r="D21" s="222">
        <v>25</v>
      </c>
      <c r="E21" s="245" t="s">
        <v>536</v>
      </c>
      <c r="F21" s="243"/>
      <c r="G21" s="246" t="s">
        <v>25</v>
      </c>
      <c r="H21" s="405"/>
      <c r="I21" s="405"/>
      <c r="J21" s="405"/>
      <c r="K21" s="405"/>
      <c r="L21" s="405"/>
      <c r="M21" s="405"/>
      <c r="N21" s="405"/>
      <c r="O21" s="405"/>
      <c r="P21" s="405"/>
      <c r="Q21" s="405"/>
      <c r="R21" s="405"/>
      <c r="S21" s="405"/>
      <c r="T21" s="405"/>
      <c r="U21" s="405"/>
      <c r="V21" s="405"/>
      <c r="W21" s="405"/>
      <c r="X21" s="405"/>
      <c r="Y21" s="405"/>
      <c r="Z21" s="405"/>
      <c r="AA21" s="405"/>
      <c r="AB21" s="405"/>
      <c r="AC21" s="405"/>
    </row>
    <row r="22" spans="2:29" ht="18.5" x14ac:dyDescent="0.45">
      <c r="B22" s="243" t="s">
        <v>385</v>
      </c>
      <c r="C22" s="244" t="s">
        <v>26</v>
      </c>
      <c r="D22" s="223">
        <v>100</v>
      </c>
      <c r="E22" s="245" t="s">
        <v>27</v>
      </c>
      <c r="F22" s="243"/>
      <c r="G22" s="246" t="s">
        <v>28</v>
      </c>
      <c r="H22" s="405"/>
      <c r="I22" s="431"/>
      <c r="J22" s="405"/>
      <c r="K22" s="405"/>
      <c r="L22" s="405"/>
      <c r="M22" s="405"/>
      <c r="N22" s="405"/>
      <c r="O22" s="405"/>
      <c r="P22" s="405"/>
      <c r="Q22" s="405"/>
      <c r="R22" s="405"/>
      <c r="S22" s="405"/>
      <c r="T22" s="405"/>
      <c r="U22" s="405"/>
      <c r="V22" s="405"/>
      <c r="W22" s="405"/>
      <c r="X22" s="405"/>
      <c r="Y22" s="405"/>
      <c r="Z22" s="405"/>
      <c r="AA22" s="405"/>
      <c r="AB22" s="405"/>
      <c r="AC22" s="405"/>
    </row>
    <row r="23" spans="2:29" ht="18.5" x14ac:dyDescent="0.45">
      <c r="B23" s="248" t="s">
        <v>29</v>
      </c>
      <c r="C23" s="244" t="s">
        <v>30</v>
      </c>
      <c r="D23" s="224">
        <v>2</v>
      </c>
      <c r="E23" s="245" t="s">
        <v>29</v>
      </c>
      <c r="F23" s="243"/>
      <c r="G23" s="246" t="s">
        <v>537</v>
      </c>
      <c r="H23" s="405"/>
      <c r="I23" s="405"/>
      <c r="J23" s="405"/>
      <c r="K23" s="405"/>
      <c r="L23" s="405"/>
      <c r="M23" s="405"/>
      <c r="N23" s="405"/>
      <c r="O23" s="405"/>
      <c r="P23" s="405"/>
      <c r="Q23" s="405"/>
      <c r="R23" s="405"/>
      <c r="S23" s="405"/>
      <c r="T23" s="405"/>
      <c r="U23" s="405"/>
      <c r="V23" s="405"/>
      <c r="W23" s="405"/>
      <c r="X23" s="405"/>
      <c r="Y23" s="405"/>
      <c r="Z23" s="405"/>
      <c r="AA23" s="405"/>
      <c r="AB23" s="405"/>
      <c r="AC23" s="405"/>
    </row>
    <row r="24" spans="2:29" ht="18.5" x14ac:dyDescent="0.45">
      <c r="B24" s="191" t="s">
        <v>31</v>
      </c>
      <c r="C24" s="249" t="s">
        <v>32</v>
      </c>
      <c r="D24" s="225">
        <v>8</v>
      </c>
      <c r="E24" s="250" t="s">
        <v>31</v>
      </c>
      <c r="F24" s="251"/>
      <c r="G24" s="252" t="s">
        <v>33</v>
      </c>
      <c r="H24" s="405"/>
      <c r="I24" s="405"/>
      <c r="J24" s="405"/>
      <c r="K24" s="405"/>
      <c r="L24" s="591"/>
      <c r="M24" s="405"/>
      <c r="N24" s="405"/>
      <c r="O24" s="405"/>
      <c r="P24" s="405"/>
      <c r="Q24" s="405"/>
      <c r="R24" s="405"/>
      <c r="S24" s="405"/>
      <c r="T24" s="405"/>
      <c r="U24" s="405"/>
      <c r="V24" s="405"/>
      <c r="W24" s="405"/>
      <c r="X24" s="405"/>
      <c r="Y24" s="405"/>
      <c r="Z24" s="405"/>
      <c r="AA24" s="405"/>
      <c r="AB24" s="405"/>
      <c r="AC24" s="405"/>
    </row>
    <row r="25" spans="2:29" ht="18.5" x14ac:dyDescent="0.45">
      <c r="B25" s="191" t="s">
        <v>447</v>
      </c>
      <c r="C25" s="249" t="s">
        <v>538</v>
      </c>
      <c r="D25" s="226">
        <v>4</v>
      </c>
      <c r="E25" s="227" t="s">
        <v>34</v>
      </c>
      <c r="F25" s="257"/>
      <c r="G25" s="252" t="s">
        <v>35</v>
      </c>
      <c r="H25" s="405"/>
      <c r="I25" s="405"/>
      <c r="J25" s="405"/>
      <c r="K25" s="405"/>
      <c r="L25" s="591"/>
      <c r="M25" s="405"/>
      <c r="N25" s="405"/>
      <c r="O25" s="405"/>
      <c r="P25" s="405"/>
      <c r="Q25" s="405"/>
      <c r="R25" s="405"/>
      <c r="S25" s="405"/>
      <c r="T25" s="405"/>
      <c r="U25" s="405"/>
      <c r="V25" s="405"/>
      <c r="W25" s="405"/>
      <c r="X25" s="405"/>
      <c r="Y25" s="405"/>
      <c r="Z25" s="405"/>
      <c r="AA25" s="405"/>
      <c r="AB25" s="405"/>
      <c r="AC25" s="405"/>
    </row>
    <row r="26" spans="2:29" ht="18.5" hidden="1" x14ac:dyDescent="0.45">
      <c r="B26" s="191" t="s">
        <v>315</v>
      </c>
      <c r="C26" s="249"/>
      <c r="D26" s="228">
        <f>IF(E25="mm",D25,D25*0.0254)</f>
        <v>4</v>
      </c>
      <c r="E26" s="255" t="s">
        <v>34</v>
      </c>
      <c r="F26" s="257"/>
      <c r="G26" s="252"/>
      <c r="H26" s="405"/>
      <c r="I26" s="405"/>
      <c r="J26" s="405"/>
      <c r="K26" s="405"/>
      <c r="L26" s="405"/>
      <c r="M26" s="405"/>
      <c r="N26" s="405"/>
      <c r="O26" s="405"/>
      <c r="P26" s="405"/>
      <c r="Q26" s="405"/>
      <c r="R26" s="405"/>
      <c r="S26" s="405"/>
      <c r="T26" s="405"/>
      <c r="U26" s="405"/>
      <c r="V26" s="405"/>
      <c r="W26" s="405"/>
      <c r="X26" s="405"/>
      <c r="Y26" s="405"/>
      <c r="Z26" s="405"/>
      <c r="AA26" s="405"/>
      <c r="AB26" s="405"/>
      <c r="AC26" s="405"/>
    </row>
    <row r="27" spans="2:29" ht="18.5" x14ac:dyDescent="0.45">
      <c r="B27" s="191" t="s">
        <v>448</v>
      </c>
      <c r="C27" s="249" t="s">
        <v>623</v>
      </c>
      <c r="D27" s="229">
        <v>1</v>
      </c>
      <c r="E27" s="256"/>
      <c r="F27" s="257"/>
      <c r="G27" s="252" t="s">
        <v>572</v>
      </c>
      <c r="H27" s="405"/>
      <c r="I27" s="405"/>
      <c r="J27" s="405"/>
      <c r="K27" s="405"/>
      <c r="L27" s="405"/>
      <c r="M27" s="405"/>
      <c r="N27" s="405"/>
      <c r="O27" s="405"/>
      <c r="P27" s="405"/>
      <c r="Q27" s="405"/>
      <c r="R27" s="405"/>
      <c r="S27" s="405"/>
      <c r="T27" s="405"/>
      <c r="U27" s="405"/>
      <c r="V27" s="405"/>
      <c r="W27" s="405"/>
      <c r="X27" s="405"/>
      <c r="Y27" s="405"/>
      <c r="Z27" s="405"/>
      <c r="AA27" s="405"/>
      <c r="AB27" s="405"/>
      <c r="AC27" s="405"/>
    </row>
    <row r="28" spans="2:29" ht="18.5" hidden="1" x14ac:dyDescent="0.45">
      <c r="B28" s="191" t="s">
        <v>449</v>
      </c>
      <c r="C28" s="249"/>
      <c r="D28" s="254">
        <f>1+(4*(D27-1)/PI())</f>
        <v>1</v>
      </c>
      <c r="E28" s="256"/>
      <c r="F28" s="257"/>
      <c r="G28" s="252"/>
      <c r="H28" s="405"/>
      <c r="I28" s="405"/>
      <c r="J28" s="405"/>
      <c r="K28" s="405"/>
      <c r="L28" s="405"/>
      <c r="M28" s="405"/>
      <c r="N28" s="405"/>
      <c r="O28" s="405"/>
      <c r="P28" s="405"/>
      <c r="Q28" s="405"/>
      <c r="R28" s="405"/>
      <c r="S28" s="405"/>
      <c r="T28" s="405"/>
      <c r="U28" s="405"/>
      <c r="V28" s="405"/>
      <c r="W28" s="405"/>
      <c r="X28" s="405"/>
      <c r="Y28" s="405"/>
      <c r="Z28" s="405"/>
      <c r="AA28" s="405"/>
      <c r="AB28" s="405"/>
      <c r="AC28" s="405"/>
    </row>
    <row r="29" spans="2:29" ht="18.5" x14ac:dyDescent="0.45">
      <c r="B29" s="191" t="s">
        <v>517</v>
      </c>
      <c r="C29" s="249" t="s">
        <v>539</v>
      </c>
      <c r="D29" s="258">
        <f>D27*D25</f>
        <v>4</v>
      </c>
      <c r="E29" s="256" t="s">
        <v>34</v>
      </c>
      <c r="F29" s="257"/>
      <c r="G29" s="252"/>
      <c r="H29" s="591"/>
      <c r="I29" s="405"/>
      <c r="J29" s="405"/>
      <c r="K29" s="405"/>
      <c r="L29" s="405"/>
      <c r="M29" s="405"/>
      <c r="N29" s="405"/>
      <c r="O29" s="405"/>
      <c r="P29" s="405"/>
      <c r="Q29" s="405"/>
      <c r="R29" s="405"/>
      <c r="S29" s="405"/>
      <c r="T29" s="405"/>
      <c r="U29" s="405"/>
      <c r="V29" s="405"/>
      <c r="W29" s="405"/>
      <c r="X29" s="405"/>
      <c r="Y29" s="405"/>
      <c r="Z29" s="405"/>
      <c r="AA29" s="405"/>
      <c r="AB29" s="405"/>
      <c r="AC29" s="405"/>
    </row>
    <row r="30" spans="2:29" ht="18.5" x14ac:dyDescent="0.45">
      <c r="B30" s="191" t="s">
        <v>38</v>
      </c>
      <c r="C30" s="249" t="s">
        <v>39</v>
      </c>
      <c r="D30" s="230">
        <v>0.1</v>
      </c>
      <c r="E30" s="227" t="s">
        <v>34</v>
      </c>
      <c r="F30" s="403">
        <f t="shared" ref="F30:F38" si="0">IF(E30="mm",D30,D30*0.0254)</f>
        <v>0.1</v>
      </c>
      <c r="G30" s="252" t="s">
        <v>40</v>
      </c>
      <c r="H30" s="405"/>
      <c r="I30" s="591"/>
      <c r="J30" s="405"/>
      <c r="K30" s="405"/>
      <c r="L30" s="405"/>
      <c r="M30" s="405"/>
      <c r="N30" s="405"/>
      <c r="O30" s="405"/>
      <c r="P30" s="405"/>
      <c r="Q30" s="405"/>
      <c r="R30" s="405"/>
      <c r="S30" s="405"/>
      <c r="T30" s="405"/>
      <c r="U30" s="405"/>
      <c r="V30" s="405"/>
      <c r="W30" s="405"/>
      <c r="X30" s="405"/>
      <c r="Y30" s="405"/>
      <c r="Z30" s="405"/>
      <c r="AA30" s="405"/>
      <c r="AB30" s="405"/>
      <c r="AC30" s="405"/>
    </row>
    <row r="31" spans="2:29" ht="18.5" x14ac:dyDescent="0.45">
      <c r="B31" s="191" t="s">
        <v>41</v>
      </c>
      <c r="C31" s="249" t="s">
        <v>42</v>
      </c>
      <c r="D31" s="230">
        <v>0.1</v>
      </c>
      <c r="E31" s="227" t="s">
        <v>34</v>
      </c>
      <c r="F31" s="403">
        <f t="shared" si="0"/>
        <v>0.1</v>
      </c>
      <c r="G31" s="252" t="s">
        <v>43</v>
      </c>
      <c r="H31" s="405"/>
      <c r="I31" s="405"/>
      <c r="J31" s="405"/>
      <c r="K31" s="405"/>
      <c r="L31" s="405"/>
      <c r="M31" s="405"/>
      <c r="N31" s="405"/>
      <c r="O31" s="405"/>
      <c r="P31" s="405"/>
      <c r="Q31" s="405"/>
      <c r="R31" s="405"/>
      <c r="S31" s="405"/>
      <c r="T31" s="405"/>
      <c r="U31" s="405"/>
      <c r="V31" s="405"/>
      <c r="W31" s="405"/>
      <c r="X31" s="405"/>
      <c r="Y31" s="405"/>
      <c r="Z31" s="405"/>
      <c r="AA31" s="405"/>
      <c r="AB31" s="405"/>
      <c r="AC31" s="405"/>
    </row>
    <row r="32" spans="2:29" x14ac:dyDescent="0.35">
      <c r="B32" s="191" t="s">
        <v>197</v>
      </c>
      <c r="C32" s="249" t="s">
        <v>204</v>
      </c>
      <c r="D32" s="231">
        <v>30</v>
      </c>
      <c r="E32" s="227" t="s">
        <v>645</v>
      </c>
      <c r="F32" s="403">
        <f t="shared" si="0"/>
        <v>0.76200000000000001</v>
      </c>
      <c r="G32" s="252" t="s">
        <v>44</v>
      </c>
      <c r="H32" s="405"/>
      <c r="I32" s="405"/>
      <c r="J32" s="405"/>
      <c r="K32" s="405"/>
      <c r="L32" s="405"/>
      <c r="M32" s="405"/>
      <c r="N32" s="405"/>
      <c r="O32" s="405"/>
      <c r="P32" s="405"/>
      <c r="Q32" s="405"/>
      <c r="R32" s="405"/>
      <c r="S32" s="405"/>
      <c r="T32" s="405"/>
      <c r="U32" s="405"/>
      <c r="V32" s="405"/>
      <c r="W32" s="405"/>
      <c r="X32" s="405"/>
      <c r="Y32" s="405"/>
      <c r="Z32" s="405"/>
      <c r="AA32" s="405"/>
      <c r="AB32" s="405"/>
      <c r="AC32" s="405"/>
    </row>
    <row r="33" spans="1:29" x14ac:dyDescent="0.35">
      <c r="B33" s="191" t="s">
        <v>198</v>
      </c>
      <c r="C33" s="249" t="s">
        <v>205</v>
      </c>
      <c r="D33" s="473">
        <v>30</v>
      </c>
      <c r="E33" s="255" t="str">
        <f>E32</f>
        <v>mil</v>
      </c>
      <c r="F33" s="403">
        <f t="shared" si="0"/>
        <v>0.76200000000000001</v>
      </c>
      <c r="G33" s="252" t="s">
        <v>45</v>
      </c>
      <c r="H33" s="405"/>
      <c r="I33" s="405"/>
      <c r="J33" s="405"/>
      <c r="K33" s="405"/>
      <c r="L33" s="405"/>
      <c r="M33" s="405"/>
      <c r="N33" s="405"/>
      <c r="O33" s="405"/>
      <c r="P33" s="405"/>
      <c r="Q33" s="405"/>
      <c r="R33" s="405"/>
      <c r="S33" s="405"/>
      <c r="T33" s="405"/>
      <c r="U33" s="405"/>
      <c r="V33" s="405"/>
      <c r="W33" s="405"/>
      <c r="X33" s="405"/>
      <c r="Y33" s="405"/>
      <c r="Z33" s="405"/>
      <c r="AA33" s="405"/>
      <c r="AB33" s="405"/>
      <c r="AC33" s="405"/>
    </row>
    <row r="34" spans="1:29" x14ac:dyDescent="0.35">
      <c r="B34" s="191" t="s">
        <v>199</v>
      </c>
      <c r="C34" s="249" t="s">
        <v>206</v>
      </c>
      <c r="D34" s="473">
        <v>8</v>
      </c>
      <c r="E34" s="255" t="str">
        <f t="shared" ref="E34:E38" si="1">E33</f>
        <v>mil</v>
      </c>
      <c r="F34" s="403">
        <f t="shared" si="0"/>
        <v>0.20319999999999999</v>
      </c>
      <c r="G34" s="252" t="s">
        <v>46</v>
      </c>
      <c r="H34" s="405"/>
      <c r="I34" s="405"/>
      <c r="J34" s="405"/>
      <c r="K34" s="405"/>
      <c r="L34" s="405"/>
      <c r="M34" s="405"/>
      <c r="N34" s="405"/>
      <c r="O34" s="405"/>
      <c r="P34" s="405"/>
      <c r="Q34" s="405"/>
      <c r="R34" s="405"/>
      <c r="S34" s="405"/>
      <c r="T34" s="405"/>
      <c r="U34" s="405"/>
      <c r="V34" s="405"/>
      <c r="W34" s="405"/>
      <c r="X34" s="405"/>
      <c r="Y34" s="405"/>
      <c r="Z34" s="405"/>
      <c r="AA34" s="405"/>
      <c r="AB34" s="405"/>
      <c r="AC34" s="405"/>
    </row>
    <row r="35" spans="1:29" ht="15" thickBot="1" x14ac:dyDescent="0.4">
      <c r="B35" s="191" t="s">
        <v>200</v>
      </c>
      <c r="C35" s="249" t="s">
        <v>207</v>
      </c>
      <c r="D35" s="473">
        <v>8</v>
      </c>
      <c r="E35" s="255" t="str">
        <f t="shared" si="1"/>
        <v>mil</v>
      </c>
      <c r="F35" s="403">
        <f t="shared" si="0"/>
        <v>0.20319999999999999</v>
      </c>
      <c r="G35" s="252" t="s">
        <v>47</v>
      </c>
      <c r="H35" s="405"/>
      <c r="I35" s="405"/>
      <c r="J35" s="405"/>
      <c r="K35" s="405"/>
      <c r="L35" s="405"/>
      <c r="M35" s="405"/>
      <c r="N35" s="405"/>
      <c r="O35" s="405"/>
      <c r="P35" s="405"/>
      <c r="Q35" s="405"/>
      <c r="R35" s="405"/>
      <c r="S35" s="405"/>
      <c r="T35" s="405"/>
      <c r="U35" s="405"/>
      <c r="V35" s="405"/>
      <c r="W35" s="405"/>
      <c r="X35" s="405"/>
      <c r="Y35" s="405"/>
      <c r="Z35" s="405"/>
      <c r="AA35" s="405"/>
      <c r="AB35" s="405"/>
      <c r="AC35" s="405"/>
    </row>
    <row r="36" spans="1:29" ht="15.5" thickTop="1" thickBot="1" x14ac:dyDescent="0.4">
      <c r="B36" s="191" t="s">
        <v>201</v>
      </c>
      <c r="C36" s="249" t="s">
        <v>208</v>
      </c>
      <c r="D36" s="473">
        <v>8</v>
      </c>
      <c r="E36" s="255" t="str">
        <f t="shared" si="1"/>
        <v>mil</v>
      </c>
      <c r="F36" s="403">
        <f t="shared" si="0"/>
        <v>0.20319999999999999</v>
      </c>
      <c r="G36" s="252" t="s">
        <v>48</v>
      </c>
      <c r="H36" s="405"/>
      <c r="I36" s="405"/>
      <c r="J36" s="592" t="s">
        <v>49</v>
      </c>
      <c r="K36" s="593"/>
      <c r="L36" s="593"/>
      <c r="M36" s="593"/>
      <c r="N36" s="593"/>
      <c r="O36" s="593"/>
      <c r="P36" s="593"/>
      <c r="Q36" s="593"/>
      <c r="R36" s="593"/>
      <c r="S36" s="593"/>
      <c r="T36" s="593"/>
      <c r="U36" s="594"/>
      <c r="V36" s="405"/>
      <c r="W36" s="405"/>
      <c r="X36" s="405"/>
      <c r="Y36" s="405"/>
      <c r="Z36" s="405"/>
      <c r="AA36" s="405"/>
      <c r="AB36" s="405"/>
      <c r="AC36" s="405"/>
    </row>
    <row r="37" spans="1:29" ht="15.5" thickTop="1" thickBot="1" x14ac:dyDescent="0.4">
      <c r="B37" s="191" t="s">
        <v>202</v>
      </c>
      <c r="C37" s="249" t="s">
        <v>209</v>
      </c>
      <c r="D37" s="473">
        <f>62*0.0254</f>
        <v>1.5748</v>
      </c>
      <c r="E37" s="255" t="str">
        <f t="shared" si="1"/>
        <v>mil</v>
      </c>
      <c r="F37" s="403">
        <f t="shared" si="0"/>
        <v>3.9999919999999994E-2</v>
      </c>
      <c r="G37" s="252" t="s">
        <v>50</v>
      </c>
      <c r="H37" s="405"/>
      <c r="I37" s="405"/>
      <c r="J37" s="595" t="s">
        <v>51</v>
      </c>
      <c r="K37" s="596"/>
      <c r="L37" s="596"/>
      <c r="M37" s="597" t="s">
        <v>52</v>
      </c>
      <c r="N37" s="597"/>
      <c r="O37" s="597"/>
      <c r="P37" s="597"/>
      <c r="Q37" s="597"/>
      <c r="R37" s="597"/>
      <c r="S37" s="597"/>
      <c r="T37" s="597"/>
      <c r="U37" s="598" t="s">
        <v>540</v>
      </c>
      <c r="V37" s="405"/>
      <c r="W37" s="405"/>
      <c r="X37" s="405"/>
      <c r="Y37" s="405"/>
      <c r="Z37" s="405"/>
      <c r="AA37" s="405"/>
      <c r="AB37" s="405"/>
      <c r="AC37" s="405"/>
    </row>
    <row r="38" spans="1:29" ht="15" thickBot="1" x14ac:dyDescent="0.4">
      <c r="B38" s="191" t="s">
        <v>203</v>
      </c>
      <c r="C38" s="249" t="s">
        <v>210</v>
      </c>
      <c r="D38" s="473">
        <f>62*0.0254</f>
        <v>1.5748</v>
      </c>
      <c r="E38" s="255" t="str">
        <f t="shared" si="1"/>
        <v>mil</v>
      </c>
      <c r="F38" s="403">
        <f t="shared" si="0"/>
        <v>3.9999919999999994E-2</v>
      </c>
      <c r="G38" s="252" t="s">
        <v>53</v>
      </c>
      <c r="H38" s="405"/>
      <c r="I38" s="405"/>
      <c r="J38" s="599"/>
      <c r="K38" s="600"/>
      <c r="L38" s="600"/>
      <c r="M38" s="601" t="s">
        <v>54</v>
      </c>
      <c r="N38" s="601" t="s">
        <v>55</v>
      </c>
      <c r="O38" s="601" t="s">
        <v>56</v>
      </c>
      <c r="P38" s="601" t="s">
        <v>57</v>
      </c>
      <c r="Q38" s="601" t="s">
        <v>58</v>
      </c>
      <c r="R38" s="601" t="s">
        <v>59</v>
      </c>
      <c r="S38" s="601" t="s">
        <v>60</v>
      </c>
      <c r="T38" s="601" t="s">
        <v>61</v>
      </c>
      <c r="U38" s="602"/>
      <c r="V38" s="405"/>
      <c r="W38" s="405"/>
      <c r="X38" s="405"/>
      <c r="Y38" s="405"/>
      <c r="Z38" s="405"/>
      <c r="AA38" s="405"/>
      <c r="AB38" s="405"/>
      <c r="AC38" s="405"/>
    </row>
    <row r="39" spans="1:29" ht="15" thickBot="1" x14ac:dyDescent="0.4">
      <c r="B39" s="191" t="s">
        <v>62</v>
      </c>
      <c r="C39" s="249" t="s">
        <v>63</v>
      </c>
      <c r="D39" s="232">
        <v>0.5</v>
      </c>
      <c r="E39" s="227" t="s">
        <v>64</v>
      </c>
      <c r="F39" s="403">
        <f>IF(E39="mm",D39, IF(E39="mil",D39*0.0254,D39*0.0347))</f>
        <v>1.7350000000000001E-2</v>
      </c>
      <c r="G39" s="252" t="s">
        <v>65</v>
      </c>
      <c r="H39" s="405"/>
      <c r="I39" s="405"/>
      <c r="J39" s="599"/>
      <c r="K39" s="600"/>
      <c r="L39" s="600"/>
      <c r="M39" s="601">
        <v>0</v>
      </c>
      <c r="N39" s="601">
        <f>M39+F32</f>
        <v>0.76200000000000001</v>
      </c>
      <c r="O39" s="601">
        <f>N39+F33</f>
        <v>1.524</v>
      </c>
      <c r="P39" s="601">
        <f>O39+F34</f>
        <v>1.7272000000000001</v>
      </c>
      <c r="Q39" s="601">
        <f>P39+F35</f>
        <v>1.9304000000000001</v>
      </c>
      <c r="R39" s="601">
        <f>Q39+F36</f>
        <v>2.1335999999999999</v>
      </c>
      <c r="S39" s="601">
        <f>R39+F37</f>
        <v>2.17359992</v>
      </c>
      <c r="T39" s="601">
        <f>S39+F38</f>
        <v>2.2135998400000001</v>
      </c>
      <c r="U39" s="602"/>
      <c r="V39" s="405"/>
      <c r="W39" s="405"/>
      <c r="X39" s="405"/>
      <c r="Y39" s="405"/>
      <c r="Z39" s="405"/>
      <c r="AA39" s="405"/>
      <c r="AB39" s="405"/>
      <c r="AC39" s="405"/>
    </row>
    <row r="40" spans="1:29" ht="15" thickBot="1" x14ac:dyDescent="0.4">
      <c r="B40" s="417" t="s">
        <v>632</v>
      </c>
      <c r="C40" s="418" t="s">
        <v>66</v>
      </c>
      <c r="D40" s="419">
        <v>1.6800000000000002E-8</v>
      </c>
      <c r="E40" s="420" t="s">
        <v>633</v>
      </c>
      <c r="F40" s="421"/>
      <c r="G40" s="422" t="s">
        <v>631</v>
      </c>
      <c r="H40" s="405"/>
      <c r="I40" s="405"/>
      <c r="J40" s="603" t="s">
        <v>67</v>
      </c>
      <c r="K40" s="601" t="s">
        <v>54</v>
      </c>
      <c r="L40" s="601">
        <f>M39</f>
        <v>0</v>
      </c>
      <c r="M40" s="604">
        <f>IF($D$23&gt;0,1,0)</f>
        <v>1</v>
      </c>
      <c r="N40" s="604">
        <f>IF($D$23&gt;1,1.5625*$D$24^2/((0.184*ABS(N$39-$L40)^3-0.525*(N$39-$L40)^2+1.038*ABS(N$39-$L40)+1.001)*(1.67*$D$24^2-5.84*$D$24+65)),0)</f>
        <v>0.50938005840246703</v>
      </c>
      <c r="O40" s="604">
        <f>IF($D$23&gt;2,1.5625*$D$24^2/((0.184*ABS(O$39-$L40)^3-0.525*(O$39-$L40)^2+1.038*ABS(O$39-$L40)+1.001)*(1.67*$D$24^2-5.84*$D$24+65)),0)</f>
        <v>0</v>
      </c>
      <c r="P40" s="604">
        <f>IF($D$23&gt;3,1.5625*$D$24^2/((0.184*ABS(P$39-$L40)^3-0.525*(P$39-$L40)^2+1.038*ABS(P$39-$L40)+1.001)*(1.67*$D$24^2-5.84*$D$24+65)),0)</f>
        <v>0</v>
      </c>
      <c r="Q40" s="604">
        <f>IF($D$23&gt;4,1.5625*$D$24^2/((0.184*ABS(Q$39-$L40)^3-0.525*(Q$39-$L40)^2+1.038*ABS(Q$39-$L40)+1.001)*(1.67*$D$24^2-5.84*$D$24+65)),0)</f>
        <v>0</v>
      </c>
      <c r="R40" s="604">
        <f>IF($D$23&gt;5,1.5625*$D$24^2/((0.184*ABS(R$39-$L40)^3-0.525*(R$39-$L40)^2+1.038*ABS(R$39-$L40)+1.001)*(1.67*$D$24^2-5.84*$D$24+65)),0)</f>
        <v>0</v>
      </c>
      <c r="S40" s="604">
        <f t="shared" ref="S40:S45" si="2">IF($D$23&gt;6,1.5625*$D$24^2/((0.184*ABS(S$39-$L40)^3-0.525*(S$39-$L40)^2+1.038*ABS(S$39-$L40)+1.001)*(1.67*$D$24^2-5.84*$D$24+65)),0)</f>
        <v>0</v>
      </c>
      <c r="T40" s="604">
        <f t="shared" ref="T40:T46" si="3">IF($D$23&gt;7,1.5625*$D$24^2/((0.184*ABS(T$39-$L40)^3-0.525*(T$39-$L40)^2+1.038*ABS(T$39-$L40)+1.001)*(1.67*$D$24^2-5.84*$D$24+65)),0)</f>
        <v>0</v>
      </c>
      <c r="U40" s="605">
        <f>SUM(M40:T40)*$D$49</f>
        <v>0.20313885026219625</v>
      </c>
      <c r="V40" s="405"/>
      <c r="W40" s="405"/>
      <c r="X40" s="405"/>
      <c r="Y40" s="405"/>
      <c r="Z40" s="405"/>
      <c r="AA40" s="405"/>
      <c r="AB40" s="405"/>
      <c r="AC40" s="405"/>
    </row>
    <row r="41" spans="1:29" ht="15" thickBot="1" x14ac:dyDescent="0.4">
      <c r="B41" s="417" t="s">
        <v>271</v>
      </c>
      <c r="C41" s="418" t="s">
        <v>68</v>
      </c>
      <c r="D41" s="423">
        <v>0.39300000000000002</v>
      </c>
      <c r="E41" s="420" t="s">
        <v>634</v>
      </c>
      <c r="F41" s="421"/>
      <c r="G41" s="422" t="s">
        <v>630</v>
      </c>
      <c r="H41" s="405"/>
      <c r="I41" s="405"/>
      <c r="J41" s="603"/>
      <c r="K41" s="601" t="s">
        <v>55</v>
      </c>
      <c r="L41" s="601">
        <f>N39</f>
        <v>0.76200000000000001</v>
      </c>
      <c r="M41" s="604">
        <f>IF($D$23&gt;1,1.5625*$D$24^2/((0.184*ABS(M$39-$L41)^3-0.525*(M$39-$L41)^2+1.038*ABS(M$39-$L41)+1.001)*(1.67*$D$24^2-5.84*$D$24+65)),0)</f>
        <v>0.50938005840246703</v>
      </c>
      <c r="N41" s="604">
        <f>IF($D$23&gt;1,1,0)</f>
        <v>1</v>
      </c>
      <c r="O41" s="604">
        <f>IF($D$23&gt;2,1.5625*$D$24^2/((0.184*ABS(O$39-$L41)^3-0.525*(O$39-$L41)^2+1.038*ABS(O$39-$L41)+1.001)*(1.67*$D$24^2-5.84*$D$24+65)),0)</f>
        <v>0</v>
      </c>
      <c r="P41" s="604">
        <f>IF($D$23&gt;3,1.5625*$D$24^2/((0.184*ABS(P$39-$L41)^3-0.525*(P$39-$L41)^2+1.038*ABS(P$39-$L41)+1.001)*(1.67*$D$24^2-5.84*$D$24+65)),0)</f>
        <v>0</v>
      </c>
      <c r="Q41" s="604">
        <f>IF($D$23&gt;4,1.5625*$D$24^2/((0.184*ABS(Q$39-$L41)^3-0.525*(Q$39-$L41)^2+1.038*ABS(Q$39-$L41)+1.001)*(1.67*$D$24^2-5.84*$D$24+65)),0)</f>
        <v>0</v>
      </c>
      <c r="R41" s="604">
        <f>IF($D$23&gt;5,1.5625*$D$24^2/((0.184*ABS(R$39-$L41)^3-0.525*(R$39-$L41)^2+1.038*ABS(R$39-$L41)+1.001)*(1.67*$D$24^2-5.84*$D$24+65)),0)</f>
        <v>0</v>
      </c>
      <c r="S41" s="604">
        <f t="shared" si="2"/>
        <v>0</v>
      </c>
      <c r="T41" s="604">
        <f t="shared" si="3"/>
        <v>0</v>
      </c>
      <c r="U41" s="605">
        <f t="shared" ref="U41:U47" si="4">SUM(M41:T41)*$D$49</f>
        <v>0.20313885026219625</v>
      </c>
      <c r="V41" s="405"/>
      <c r="W41" s="405"/>
      <c r="X41" s="405"/>
      <c r="Y41" s="405"/>
      <c r="Z41" s="405"/>
      <c r="AA41" s="405"/>
      <c r="AB41" s="405"/>
      <c r="AC41" s="405"/>
    </row>
    <row r="42" spans="1:29" ht="15" thickBot="1" x14ac:dyDescent="0.4">
      <c r="B42" s="417" t="s">
        <v>69</v>
      </c>
      <c r="C42" s="424" t="s">
        <v>635</v>
      </c>
      <c r="D42" s="425">
        <v>1</v>
      </c>
      <c r="E42" s="420"/>
      <c r="F42" s="421"/>
      <c r="G42" s="422" t="s">
        <v>636</v>
      </c>
      <c r="H42" s="405"/>
      <c r="I42" s="405"/>
      <c r="J42" s="603"/>
      <c r="K42" s="601" t="s">
        <v>56</v>
      </c>
      <c r="L42" s="601">
        <f>O39</f>
        <v>1.524</v>
      </c>
      <c r="M42" s="604">
        <f>IF($D$23&gt;2,1.5625*$D$24^2/((0.184*ABS(M$39-$L42)^3-0.525*(M$39-$L42)^2+1.038*ABS(M$39-$L42)+1.001)*(1.67*$D$24^2-5.84*$D$24+65)),0)</f>
        <v>0</v>
      </c>
      <c r="N42" s="604">
        <f>IF($D$23&gt;2,1.5625*$D$24^2/((0.184*ABS(N$39-$L42)^3-0.525*(N$39-$L42)^2+1.038*ABS(N$39-$L42)+1.001)*(1.67*$D$24^2-5.84*$D$24+65)),0)</f>
        <v>0</v>
      </c>
      <c r="O42" s="604">
        <f>IF($D$23&gt;2,1,0)</f>
        <v>0</v>
      </c>
      <c r="P42" s="604">
        <f>IF($D$23&gt;3,1.5625*$D$24^2/((0.184*ABS(P$39-$L42)^3-0.525*(P$39-$L42)^2+1.038*ABS(P$39-$L42)+1.001)*(1.67*$D$24^2-5.84*$D$24+65)),0)</f>
        <v>0</v>
      </c>
      <c r="Q42" s="604">
        <f>IF($D$23&gt;4,1.5625*$D$24^2/((0.184*ABS(Q$39-$L42)^3-0.525*(Q$39-$L42)^2+1.038*ABS(Q$39-$L42)+1.001)*(1.67*$D$24^2-5.84*$D$24+65)),0)</f>
        <v>0</v>
      </c>
      <c r="R42" s="604">
        <f>IF($D$23&gt;5,1.5625*$D$24^2/((0.184*ABS(R$39-$L42)^3-0.525*(R$39-$L42)^2+1.038*ABS(R$39-$L42)+1.001)*(1.67*$D$24^2-5.84*$D$24+65)),0)</f>
        <v>0</v>
      </c>
      <c r="S42" s="604">
        <f t="shared" si="2"/>
        <v>0</v>
      </c>
      <c r="T42" s="604">
        <f t="shared" si="3"/>
        <v>0</v>
      </c>
      <c r="U42" s="605">
        <f t="shared" si="4"/>
        <v>0</v>
      </c>
      <c r="V42" s="405"/>
      <c r="W42" s="405"/>
      <c r="X42" s="405"/>
      <c r="Y42" s="405"/>
      <c r="Z42" s="405"/>
      <c r="AA42" s="405"/>
      <c r="AB42" s="405"/>
      <c r="AC42" s="405"/>
    </row>
    <row r="43" spans="1:29" ht="15" thickBot="1" x14ac:dyDescent="0.4">
      <c r="B43" s="417" t="s">
        <v>70</v>
      </c>
      <c r="C43" s="418" t="s">
        <v>71</v>
      </c>
      <c r="D43" s="426">
        <v>4</v>
      </c>
      <c r="E43" s="420" t="s">
        <v>27</v>
      </c>
      <c r="F43" s="421"/>
      <c r="G43" s="422" t="s">
        <v>72</v>
      </c>
      <c r="H43" s="405"/>
      <c r="I43" s="405"/>
      <c r="J43" s="603"/>
      <c r="K43" s="601" t="s">
        <v>57</v>
      </c>
      <c r="L43" s="601">
        <f>P39</f>
        <v>1.7272000000000001</v>
      </c>
      <c r="M43" s="604">
        <f>IF($D$23&gt;3,1.5625*$D$24^2/((0.184*ABS(M$39-$L43)^3-0.525*(M$39-$L43)^2+1.038*ABS(M$39-$L43)+1.001)*(1.67*$D$24^2-5.84*$D$24+65)),0)</f>
        <v>0</v>
      </c>
      <c r="N43" s="604">
        <f>IF($D$23&gt;3,1.5625*$D$24^2/((0.184*ABS(N$39-$L43)^3-0.525*(N$39-$L43)^2+1.038*ABS(N$39-$L43)+1.001)*(1.67*$D$24^2-5.84*$D$24+65)),0)</f>
        <v>0</v>
      </c>
      <c r="O43" s="604">
        <f>IF($D$23&gt;3,1.5625*$D$24^2/((0.184*ABS(O$39-$L43)^3-0.525*(O$39-$L43)^2+1.038*ABS(O$39-$L43)+1.001)*(1.67*$D$24^2-5.84*$D$24+65)),0)</f>
        <v>0</v>
      </c>
      <c r="P43" s="604">
        <f>IF($D$23&gt;3,1,0)</f>
        <v>0</v>
      </c>
      <c r="Q43" s="604">
        <f>IF($D$23&gt;4,1.5625*$D$24^2/((0.184*ABS(Q$39-$L43)^3-0.525*(Q$39-$L43)^2+1.038*ABS(Q$39-$L43)+1.001)*(1.67*$D$24^2-5.84*$D$24+65)),0)</f>
        <v>0</v>
      </c>
      <c r="R43" s="604">
        <f>IF($D$23&gt;5,1.5625*$D$24^2/((0.184*ABS(R$39-$L43)^3-0.525*(R$39-$L43)^2+1.038*ABS(R$39-$L43)+1.001)*(1.67*$D$24^2-5.84*$D$24+65)),0)</f>
        <v>0</v>
      </c>
      <c r="S43" s="604">
        <f t="shared" si="2"/>
        <v>0</v>
      </c>
      <c r="T43" s="604">
        <f t="shared" si="3"/>
        <v>0</v>
      </c>
      <c r="U43" s="605">
        <f t="shared" si="4"/>
        <v>0</v>
      </c>
      <c r="V43" s="405"/>
      <c r="W43" s="405"/>
      <c r="X43" s="405"/>
      <c r="Y43" s="405"/>
      <c r="Z43" s="405"/>
      <c r="AA43" s="405"/>
      <c r="AB43" s="405"/>
      <c r="AC43" s="405"/>
    </row>
    <row r="44" spans="1:29" ht="15" thickBot="1" x14ac:dyDescent="0.4">
      <c r="B44" s="259" t="s">
        <v>73</v>
      </c>
      <c r="C44" s="260" t="s">
        <v>74</v>
      </c>
      <c r="D44" s="261">
        <f>D40*(1+(D41/100)*(D21-20))</f>
        <v>1.713012E-8</v>
      </c>
      <c r="E44" s="262" t="s">
        <v>541</v>
      </c>
      <c r="F44" s="257"/>
      <c r="G44" s="263"/>
      <c r="H44" s="405"/>
      <c r="I44" s="405"/>
      <c r="J44" s="603"/>
      <c r="K44" s="601" t="s">
        <v>58</v>
      </c>
      <c r="L44" s="601">
        <f>Q39</f>
        <v>1.9304000000000001</v>
      </c>
      <c r="M44" s="604">
        <f>IF($D$23&gt;4,1.5625*$D$24^2/((0.184*ABS(M$39-$L44)^3-0.525*(M$39-$L44)^2+1.038*ABS(M$39-$L44)+1.001)*(1.67*$D$24^2-5.84*$D$24+65)),0)</f>
        <v>0</v>
      </c>
      <c r="N44" s="604">
        <f>IF($D$23&gt;4,1.5625*$D$24^2/((0.184*ABS(N$39-$L44)^3-0.525*(N$39-$L44)^2+1.038*ABS(N$39-$L44)+1.001)*(1.67*$D$24^2-5.84*$D$24+65)),0)</f>
        <v>0</v>
      </c>
      <c r="O44" s="604">
        <f>IF($D$23&gt;4,1.5625*$D$24^2/((0.184*ABS(O$39-$L44)^3-0.525*(O$39-$L44)^2+1.038*ABS(O$39-$L44)+1.001)*(1.67*$D$24^2-5.84*$D$24+65)),0)</f>
        <v>0</v>
      </c>
      <c r="P44" s="604">
        <f>IF($D$23&gt;4,1.5625*$D$24^2/((0.184*ABS(P$39-$L44)^3-0.525*(P$39-$L44)^2+1.038*ABS(P$39-$L44)+1.001)*(1.67*$D$24^2-5.84*$D$24+65)),0)</f>
        <v>0</v>
      </c>
      <c r="Q44" s="604">
        <f>IF($D$23&gt;4,1,0)</f>
        <v>0</v>
      </c>
      <c r="R44" s="604">
        <f>IF($D$23&gt;5,1.5625*$D$24^2/((0.184*ABS(R$39-$L44)^3-0.525*(R$39-$L44)^2+1.038*ABS(R$39-$L44)+1.001)*(1.67*$D$24^2-5.84*$D$24+65)),0)</f>
        <v>0</v>
      </c>
      <c r="S44" s="604">
        <f t="shared" si="2"/>
        <v>0</v>
      </c>
      <c r="T44" s="604">
        <f t="shared" si="3"/>
        <v>0</v>
      </c>
      <c r="U44" s="605">
        <f t="shared" si="4"/>
        <v>0</v>
      </c>
      <c r="V44" s="405"/>
      <c r="W44" s="405"/>
      <c r="X44" s="405"/>
      <c r="Y44" s="405"/>
      <c r="Z44" s="405"/>
      <c r="AA44" s="405"/>
      <c r="AB44" s="405"/>
      <c r="AC44" s="405"/>
    </row>
    <row r="45" spans="1:29" ht="15" thickBot="1" x14ac:dyDescent="0.4">
      <c r="A45" s="264"/>
      <c r="B45" s="265" t="s">
        <v>314</v>
      </c>
      <c r="C45" s="266" t="s">
        <v>316</v>
      </c>
      <c r="D45" s="267">
        <f>F48/D26</f>
        <v>0.19999999999999996</v>
      </c>
      <c r="E45" s="256"/>
      <c r="F45" s="257"/>
      <c r="G45" s="263" t="s">
        <v>450</v>
      </c>
      <c r="H45" s="405"/>
      <c r="I45" s="405"/>
      <c r="J45" s="603"/>
      <c r="K45" s="601" t="s">
        <v>59</v>
      </c>
      <c r="L45" s="601">
        <f>R39</f>
        <v>2.1335999999999999</v>
      </c>
      <c r="M45" s="604">
        <f>IF($D$23&gt;5,1.5625*$D$24^2/((0.184*ABS(M$39-$L45)^3-0.525*(M$39-$L45)^2+1.038*ABS(M$39-$L45)+1.001)*(1.67*$D$24^2-5.84*$D$24+65)),0)</f>
        <v>0</v>
      </c>
      <c r="N45" s="604">
        <f>IF($D$23&gt;5,1.5625*$D$24^2/((0.184*ABS(N$39-$L45)^3-0.525*(N$39-$L45)^2+1.038*ABS(N$39-$L45)+1.001)*(1.67*$D$24^2-5.84*$D$24+65)),0)</f>
        <v>0</v>
      </c>
      <c r="O45" s="604">
        <f>IF($D$23&gt;5,1.5625*$D$24^2/((0.184*ABS(O$39-$L45)^3-0.525*(O$39-$L45)^2+1.038*ABS(O$39-$L45)+1.001)*(1.67*$D$24^2-5.84*$D$24+65)),0)</f>
        <v>0</v>
      </c>
      <c r="P45" s="604">
        <f>IF($D$23&gt;5,1.5625*$D$24^2/((0.184*ABS(P$39-$L45)^3-0.525*(P$39-$L45)^2+1.038*ABS(P$39-$L45)+1.001)*(1.67*$D$24^2-5.84*$D$24+65)),0)</f>
        <v>0</v>
      </c>
      <c r="Q45" s="604">
        <f>IF($D$23&gt;5,1.5625*$D$24^2/((0.184*ABS(Q$39-$L45)^3-0.525*(Q$39-$L45)^2+1.038*ABS(Q$39-$L45)+1.001)*(1.67*$D$24^2-5.84*$D$24+65)),0)</f>
        <v>0</v>
      </c>
      <c r="R45" s="604">
        <f>IF($D$23&gt;5,1,0)</f>
        <v>0</v>
      </c>
      <c r="S45" s="604">
        <f t="shared" si="2"/>
        <v>0</v>
      </c>
      <c r="T45" s="604">
        <f t="shared" si="3"/>
        <v>0</v>
      </c>
      <c r="U45" s="605">
        <f t="shared" si="4"/>
        <v>0</v>
      </c>
      <c r="V45" s="405"/>
      <c r="W45" s="405"/>
      <c r="X45" s="405"/>
      <c r="Y45" s="405"/>
      <c r="Z45" s="405"/>
      <c r="AA45" s="405"/>
      <c r="AB45" s="405"/>
      <c r="AC45" s="405"/>
    </row>
    <row r="46" spans="1:29" ht="15" hidden="1" thickBot="1" x14ac:dyDescent="0.4">
      <c r="A46" s="264"/>
      <c r="B46" s="259" t="s">
        <v>75</v>
      </c>
      <c r="C46" s="260" t="s">
        <v>76</v>
      </c>
      <c r="D46" s="268">
        <f>MAX(0,D28*(F48+D26)/2)</f>
        <v>2.4</v>
      </c>
      <c r="E46" s="269" t="s">
        <v>34</v>
      </c>
      <c r="F46" s="257"/>
      <c r="G46" s="263"/>
      <c r="H46" s="405"/>
      <c r="I46" s="405"/>
      <c r="J46" s="603"/>
      <c r="K46" s="601" t="s">
        <v>60</v>
      </c>
      <c r="L46" s="601">
        <f>S39</f>
        <v>2.17359992</v>
      </c>
      <c r="M46" s="604">
        <f t="shared" ref="M46:R46" si="5">IF($D$23&gt;6,1.5625*$D$24^2/((0.184*ABS(M$39-$L46)^3-0.525*(M$39-$L46)^2+1.038*ABS(M$39-$L46)+1.001)*(1.67*$D$24^2-5.84*$D$24+65)),0)</f>
        <v>0</v>
      </c>
      <c r="N46" s="604">
        <f t="shared" si="5"/>
        <v>0</v>
      </c>
      <c r="O46" s="604">
        <f t="shared" si="5"/>
        <v>0</v>
      </c>
      <c r="P46" s="604">
        <f t="shared" si="5"/>
        <v>0</v>
      </c>
      <c r="Q46" s="604">
        <f t="shared" si="5"/>
        <v>0</v>
      </c>
      <c r="R46" s="604">
        <f t="shared" si="5"/>
        <v>0</v>
      </c>
      <c r="S46" s="604">
        <f>IF($D$23&gt;6,1,0)</f>
        <v>0</v>
      </c>
      <c r="T46" s="604">
        <f t="shared" si="3"/>
        <v>0</v>
      </c>
      <c r="U46" s="605">
        <f t="shared" si="4"/>
        <v>0</v>
      </c>
      <c r="V46" s="405"/>
      <c r="W46" s="405"/>
      <c r="X46" s="405"/>
      <c r="Y46" s="405"/>
      <c r="Z46" s="405"/>
      <c r="AA46" s="405"/>
      <c r="AB46" s="405"/>
      <c r="AC46" s="405"/>
    </row>
    <row r="47" spans="1:29" ht="15" hidden="1" thickBot="1" x14ac:dyDescent="0.4">
      <c r="A47" s="264"/>
      <c r="B47" s="259" t="s">
        <v>77</v>
      </c>
      <c r="C47" s="260" t="s">
        <v>78</v>
      </c>
      <c r="D47" s="270">
        <f>(D26-F48)/(D26+F48)</f>
        <v>0.66666666666666674</v>
      </c>
      <c r="E47" s="269"/>
      <c r="F47" s="257"/>
      <c r="G47" s="263"/>
      <c r="H47" s="405"/>
      <c r="I47" s="405"/>
      <c r="J47" s="606"/>
      <c r="K47" s="607" t="s">
        <v>61</v>
      </c>
      <c r="L47" s="607">
        <f>T39</f>
        <v>2.2135998400000001</v>
      </c>
      <c r="M47" s="608">
        <f t="shared" ref="M47:S47" si="6">IF($D$23&gt;7,1.5625*$D$24^2/((0.184*ABS(M$39-$L47)^3-0.525*(M$39-$L47)^2+1.038*ABS(M$39-$L47)+1.001)*(1.67*$D$24^2-5.84*$D$24+65)),0)</f>
        <v>0</v>
      </c>
      <c r="N47" s="608">
        <f t="shared" si="6"/>
        <v>0</v>
      </c>
      <c r="O47" s="608">
        <f t="shared" si="6"/>
        <v>0</v>
      </c>
      <c r="P47" s="608">
        <f t="shared" si="6"/>
        <v>0</v>
      </c>
      <c r="Q47" s="608">
        <f t="shared" si="6"/>
        <v>0</v>
      </c>
      <c r="R47" s="608">
        <f t="shared" si="6"/>
        <v>0</v>
      </c>
      <c r="S47" s="608">
        <f t="shared" si="6"/>
        <v>0</v>
      </c>
      <c r="T47" s="608">
        <f>IF($D$23&gt;7,1,0)</f>
        <v>0</v>
      </c>
      <c r="U47" s="609">
        <f t="shared" si="4"/>
        <v>0</v>
      </c>
      <c r="V47" s="405"/>
      <c r="W47" s="405"/>
      <c r="X47" s="405"/>
      <c r="Y47" s="405"/>
      <c r="Z47" s="405"/>
      <c r="AA47" s="405"/>
      <c r="AB47" s="405"/>
      <c r="AC47" s="405"/>
    </row>
    <row r="48" spans="1:29" ht="15" thickBot="1" x14ac:dyDescent="0.4">
      <c r="A48" s="264"/>
      <c r="B48" s="259" t="s">
        <v>79</v>
      </c>
      <c r="C48" s="260" t="s">
        <v>36</v>
      </c>
      <c r="D48" s="271">
        <f>IF(E48="mm",F48,F48/0.0254)</f>
        <v>0.79999999999999982</v>
      </c>
      <c r="E48" s="227" t="s">
        <v>34</v>
      </c>
      <c r="F48" s="402">
        <f>D26-(2*D24+1)*F31-(2*D24-1)*F30</f>
        <v>0.79999999999999982</v>
      </c>
      <c r="G48" s="252" t="s">
        <v>37</v>
      </c>
      <c r="H48" s="405"/>
      <c r="I48" s="577"/>
      <c r="J48" s="610"/>
      <c r="K48" s="611"/>
      <c r="L48" s="611"/>
      <c r="M48" s="233"/>
      <c r="N48" s="233"/>
      <c r="O48" s="233"/>
      <c r="P48" s="233"/>
      <c r="Q48" s="233"/>
      <c r="R48" s="612"/>
      <c r="S48" s="613"/>
      <c r="T48" s="613"/>
      <c r="U48" s="614"/>
      <c r="V48" s="405"/>
      <c r="W48" s="405"/>
      <c r="X48" s="405"/>
      <c r="Y48" s="405"/>
      <c r="Z48" s="405"/>
      <c r="AA48" s="405"/>
      <c r="AB48" s="405"/>
      <c r="AC48" s="405"/>
    </row>
    <row r="49" spans="1:29" ht="16.5" thickTop="1" thickBot="1" x14ac:dyDescent="0.4">
      <c r="A49" s="264"/>
      <c r="B49" s="265" t="s">
        <v>80</v>
      </c>
      <c r="C49" s="266" t="s">
        <v>81</v>
      </c>
      <c r="D49" s="273">
        <f>0.5*4*PI()*0.0001*D24*D24*D46*(LN(2.46/D47)+0.2*D47*D47)</f>
        <v>0.13458429447994635</v>
      </c>
      <c r="E49" s="250" t="s">
        <v>542</v>
      </c>
      <c r="F49" s="257"/>
      <c r="G49" s="274"/>
      <c r="H49" s="405"/>
      <c r="I49" s="405"/>
      <c r="J49" s="615"/>
      <c r="K49" s="615"/>
      <c r="L49" s="615"/>
      <c r="M49" s="405"/>
      <c r="N49" s="405"/>
      <c r="O49" s="405"/>
      <c r="P49" s="405"/>
      <c r="Q49" s="405"/>
      <c r="R49" s="616" t="s">
        <v>543</v>
      </c>
      <c r="S49" s="617"/>
      <c r="T49" s="617"/>
      <c r="U49" s="618">
        <f>SUM(U40:U47)</f>
        <v>0.40627770052439249</v>
      </c>
      <c r="V49" s="405"/>
      <c r="W49" s="405"/>
      <c r="X49" s="405"/>
      <c r="Y49" s="405"/>
      <c r="Z49" s="405"/>
      <c r="AA49" s="405"/>
      <c r="AB49" s="405"/>
      <c r="AC49" s="405"/>
    </row>
    <row r="50" spans="1:29" ht="19" thickTop="1" x14ac:dyDescent="0.45">
      <c r="A50" s="264"/>
      <c r="B50" s="275" t="s">
        <v>566</v>
      </c>
      <c r="C50" s="266" t="s">
        <v>544</v>
      </c>
      <c r="D50" s="276">
        <f>IF(D48&gt;0,U49,"Error")</f>
        <v>0.40627770052439249</v>
      </c>
      <c r="E50" s="277" t="s">
        <v>545</v>
      </c>
      <c r="F50" s="257"/>
      <c r="G50" s="416" t="str">
        <f>IF(D50="Error","Too many turns or outer diameter too small!","")</f>
        <v/>
      </c>
      <c r="H50" s="405"/>
      <c r="I50" s="405"/>
      <c r="J50" s="405"/>
      <c r="K50" s="405"/>
      <c r="L50" s="405"/>
      <c r="M50" s="405"/>
      <c r="N50" s="405"/>
      <c r="O50" s="405"/>
      <c r="P50" s="405"/>
      <c r="Q50" s="405"/>
      <c r="R50" s="405"/>
      <c r="S50" s="405"/>
      <c r="T50" s="405"/>
      <c r="U50" s="405"/>
      <c r="V50" s="405"/>
      <c r="W50" s="405"/>
      <c r="X50" s="405"/>
      <c r="Y50" s="405"/>
      <c r="Z50" s="405"/>
      <c r="AA50" s="405"/>
      <c r="AB50" s="405"/>
      <c r="AC50" s="405"/>
    </row>
    <row r="51" spans="1:29" ht="15.5" hidden="1" x14ac:dyDescent="0.35">
      <c r="A51" s="264"/>
      <c r="B51" s="275" t="s">
        <v>83</v>
      </c>
      <c r="C51" s="266"/>
      <c r="D51" s="404">
        <f>IF(D20="LDC0851",SQRT(2)/(2*PI()*SQRT(D50*0.000001*(D22+D43)*0.000000000001)),1/(2*PI()*SQRT(D50*0.000001*(D22+D43)*0.000000000001)))</f>
        <v>24484541.124208473</v>
      </c>
      <c r="E51" s="277" t="s">
        <v>1</v>
      </c>
      <c r="F51" s="257"/>
      <c r="G51" s="278"/>
      <c r="H51" s="405"/>
      <c r="I51" s="405"/>
      <c r="J51" s="405"/>
      <c r="K51" s="405"/>
      <c r="L51" s="405"/>
      <c r="M51" s="405"/>
      <c r="N51" s="405"/>
      <c r="O51" s="405"/>
      <c r="P51" s="405"/>
      <c r="Q51" s="405"/>
      <c r="R51" s="405"/>
      <c r="S51" s="405"/>
      <c r="T51" s="405"/>
      <c r="U51" s="405"/>
      <c r="V51" s="405"/>
      <c r="W51" s="405"/>
      <c r="X51" s="405"/>
      <c r="Y51" s="405"/>
      <c r="Z51" s="405"/>
      <c r="AA51" s="405"/>
      <c r="AB51" s="405"/>
      <c r="AC51" s="405"/>
    </row>
    <row r="52" spans="1:29" ht="18.5" x14ac:dyDescent="0.45">
      <c r="A52" s="264"/>
      <c r="B52" s="275" t="s">
        <v>565</v>
      </c>
      <c r="C52" s="266" t="s">
        <v>624</v>
      </c>
      <c r="D52" s="276">
        <f>IF(D51&gt;300000,D51/1000000,D51/1000)</f>
        <v>24.484541124208473</v>
      </c>
      <c r="E52" s="279" t="str">
        <f>IF(D51&gt;300000,"MHz","kHz")</f>
        <v>MHz</v>
      </c>
      <c r="F52" s="280"/>
      <c r="G52" s="278" t="str">
        <f>IF(ISERROR(D52),"",IF(D52&gt;(D60*1000),"Sensor Frequency is too high, reduce C",""))</f>
        <v/>
      </c>
      <c r="H52" s="405"/>
      <c r="I52" s="405"/>
      <c r="J52" s="405"/>
      <c r="K52" s="405"/>
      <c r="L52" s="405"/>
      <c r="M52" s="405"/>
      <c r="N52" s="405"/>
      <c r="O52" s="405"/>
      <c r="P52" s="405"/>
      <c r="Q52" s="405"/>
      <c r="R52" s="405"/>
      <c r="S52" s="405"/>
      <c r="T52" s="405"/>
      <c r="U52" s="405"/>
      <c r="V52" s="405"/>
      <c r="W52" s="405"/>
      <c r="X52" s="405"/>
      <c r="Y52" s="405"/>
      <c r="Z52" s="405"/>
      <c r="AA52" s="405"/>
      <c r="AB52" s="405"/>
      <c r="AC52" s="405"/>
    </row>
    <row r="53" spans="1:29" hidden="1" x14ac:dyDescent="0.35">
      <c r="A53" s="264"/>
      <c r="B53" s="281" t="s">
        <v>85</v>
      </c>
      <c r="C53" s="282" t="s">
        <v>86</v>
      </c>
      <c r="D53" s="395">
        <f>D24*(D27-1)*2*D26+PI()*D24*(D26+F48)/2</f>
        <v>60.318578948924028</v>
      </c>
      <c r="E53" s="283" t="s">
        <v>34</v>
      </c>
      <c r="F53" s="280"/>
      <c r="G53" s="263"/>
      <c r="H53" s="405"/>
      <c r="I53" s="405"/>
      <c r="J53" s="405"/>
      <c r="K53" s="405"/>
      <c r="L53" s="405"/>
      <c r="M53" s="405"/>
      <c r="N53" s="405"/>
      <c r="O53" s="405"/>
      <c r="P53" s="405"/>
      <c r="Q53" s="405"/>
      <c r="R53" s="405"/>
      <c r="S53" s="405"/>
      <c r="T53" s="405"/>
      <c r="U53" s="405"/>
      <c r="V53" s="405"/>
      <c r="W53" s="405"/>
      <c r="X53" s="405"/>
      <c r="Y53" s="405"/>
      <c r="Z53" s="405"/>
      <c r="AA53" s="405"/>
      <c r="AB53" s="405"/>
      <c r="AC53" s="405"/>
    </row>
    <row r="54" spans="1:29" hidden="1" x14ac:dyDescent="0.35">
      <c r="A54" s="264"/>
      <c r="B54" s="284" t="s">
        <v>87</v>
      </c>
      <c r="C54" s="285" t="s">
        <v>88</v>
      </c>
      <c r="D54" s="396">
        <f>D44*D53*0.001*D23/(F31*0.001*F39*0.001)</f>
        <v>1.1910829920744006</v>
      </c>
      <c r="E54" s="286" t="s">
        <v>89</v>
      </c>
      <c r="F54" s="280"/>
      <c r="G54" s="263"/>
      <c r="H54" s="405"/>
      <c r="I54" s="405"/>
      <c r="J54" s="405"/>
      <c r="K54" s="405"/>
      <c r="L54" s="405"/>
      <c r="M54" s="405"/>
      <c r="N54" s="405"/>
      <c r="O54" s="405"/>
      <c r="P54" s="405"/>
      <c r="Q54" s="405"/>
      <c r="R54" s="405"/>
      <c r="S54" s="405"/>
      <c r="T54" s="405"/>
      <c r="U54" s="405"/>
      <c r="V54" s="405"/>
      <c r="W54" s="405"/>
      <c r="X54" s="405"/>
      <c r="Y54" s="405"/>
      <c r="Z54" s="405"/>
      <c r="AA54" s="405"/>
      <c r="AB54" s="405"/>
      <c r="AC54" s="405"/>
    </row>
    <row r="55" spans="1:29" hidden="1" x14ac:dyDescent="0.35">
      <c r="A55" s="264"/>
      <c r="B55" s="284" t="s">
        <v>90</v>
      </c>
      <c r="C55" s="285" t="s">
        <v>91</v>
      </c>
      <c r="D55" s="397">
        <f>SQRT(D40/(4*PI()*PI()*0.0000001*D42*D51))*1000</f>
        <v>1.3183441243281798E-2</v>
      </c>
      <c r="E55" s="287" t="s">
        <v>34</v>
      </c>
      <c r="F55" s="280"/>
      <c r="G55" s="263"/>
      <c r="H55" s="405"/>
      <c r="I55" s="405"/>
      <c r="J55" s="405"/>
      <c r="K55" s="405"/>
      <c r="L55" s="405"/>
      <c r="M55" s="405"/>
      <c r="N55" s="405"/>
      <c r="O55" s="405"/>
      <c r="P55" s="405"/>
      <c r="Q55" s="405"/>
      <c r="R55" s="405"/>
      <c r="S55" s="405"/>
      <c r="T55" s="405"/>
      <c r="U55" s="405"/>
      <c r="V55" s="405"/>
      <c r="W55" s="405"/>
      <c r="X55" s="405"/>
      <c r="Y55" s="405"/>
      <c r="Z55" s="405"/>
      <c r="AA55" s="405"/>
      <c r="AB55" s="405"/>
      <c r="AC55" s="405"/>
    </row>
    <row r="56" spans="1:29" hidden="1" x14ac:dyDescent="0.35">
      <c r="A56" s="264"/>
      <c r="B56" s="201" t="s">
        <v>92</v>
      </c>
      <c r="C56" s="285" t="s">
        <v>451</v>
      </c>
      <c r="D56" s="398">
        <f>D54*F39/(D55*(1-EXP(-F39/D55)))</f>
        <v>2.1419864581782586</v>
      </c>
      <c r="E56" s="288" t="s">
        <v>89</v>
      </c>
      <c r="F56" s="280"/>
      <c r="G56" s="263"/>
      <c r="H56" s="405"/>
      <c r="I56" s="405"/>
      <c r="J56" s="405"/>
      <c r="K56" s="405"/>
      <c r="L56" s="405"/>
      <c r="M56" s="405"/>
      <c r="N56" s="405"/>
      <c r="O56" s="405"/>
      <c r="P56" s="405"/>
      <c r="Q56" s="405"/>
      <c r="R56" s="405"/>
      <c r="S56" s="405"/>
      <c r="T56" s="405"/>
      <c r="U56" s="405"/>
      <c r="V56" s="405"/>
      <c r="W56" s="405"/>
      <c r="X56" s="405"/>
      <c r="Y56" s="405"/>
      <c r="Z56" s="405"/>
      <c r="AA56" s="405"/>
      <c r="AB56" s="405"/>
      <c r="AC56" s="405"/>
    </row>
    <row r="57" spans="1:29" hidden="1" x14ac:dyDescent="0.35">
      <c r="A57" s="264"/>
      <c r="B57" s="289" t="s">
        <v>297</v>
      </c>
      <c r="C57" s="290" t="s">
        <v>93</v>
      </c>
      <c r="D57" s="399">
        <f>(1/D56)*(D50*0.000001/(D22*0.000000000001))</f>
        <v>1896.7332821979098</v>
      </c>
      <c r="E57" s="291" t="s">
        <v>89</v>
      </c>
      <c r="F57" s="280"/>
      <c r="G57" s="263"/>
      <c r="H57" s="405"/>
      <c r="I57" s="405"/>
      <c r="J57" s="405"/>
      <c r="K57" s="405"/>
      <c r="L57" s="405"/>
      <c r="M57" s="405"/>
      <c r="N57" s="405"/>
      <c r="O57" s="405"/>
      <c r="P57" s="405"/>
      <c r="Q57" s="405"/>
      <c r="R57" s="405"/>
      <c r="S57" s="405"/>
      <c r="T57" s="405"/>
      <c r="U57" s="405"/>
      <c r="V57" s="405"/>
      <c r="W57" s="405"/>
      <c r="X57" s="405"/>
      <c r="Y57" s="405"/>
      <c r="Z57" s="405"/>
      <c r="AA57" s="405"/>
      <c r="AB57" s="405"/>
      <c r="AC57" s="405"/>
    </row>
    <row r="58" spans="1:29" ht="16.5" x14ac:dyDescent="0.45">
      <c r="A58" s="264"/>
      <c r="B58" s="362" t="s">
        <v>546</v>
      </c>
      <c r="C58" s="290" t="s">
        <v>626</v>
      </c>
      <c r="D58" s="292">
        <f>D57/1000</f>
        <v>1.8967332821979099</v>
      </c>
      <c r="E58" s="368" t="s">
        <v>257</v>
      </c>
      <c r="F58" s="280"/>
      <c r="G58" s="263"/>
      <c r="H58" s="405"/>
      <c r="I58" s="405"/>
      <c r="J58" s="405"/>
      <c r="K58" s="405"/>
      <c r="L58" s="405"/>
      <c r="M58" s="405"/>
      <c r="N58" s="405"/>
      <c r="O58" s="405"/>
      <c r="P58" s="405"/>
      <c r="Q58" s="405"/>
      <c r="R58" s="405"/>
      <c r="S58" s="405"/>
      <c r="T58" s="405"/>
      <c r="U58" s="405"/>
      <c r="V58" s="405"/>
      <c r="W58" s="405"/>
      <c r="X58" s="405"/>
      <c r="Y58" s="405"/>
      <c r="Z58" s="405"/>
      <c r="AA58" s="405"/>
      <c r="AB58" s="405"/>
      <c r="AC58" s="405"/>
    </row>
    <row r="59" spans="1:29" ht="15.5" x14ac:dyDescent="0.35">
      <c r="A59" s="264"/>
      <c r="B59" s="275" t="s">
        <v>94</v>
      </c>
      <c r="C59" s="266" t="s">
        <v>95</v>
      </c>
      <c r="D59" s="292">
        <f>(1/D56)*SQRT(D50*0.000001/((D22+D43)*0.000000000001))</f>
        <v>29.179517234859006</v>
      </c>
      <c r="E59" s="250"/>
      <c r="F59" s="280"/>
      <c r="G59" s="263"/>
      <c r="H59" s="405"/>
      <c r="I59" s="405"/>
      <c r="J59" s="405"/>
      <c r="K59" s="405"/>
      <c r="L59" s="405"/>
      <c r="M59" s="405"/>
      <c r="N59" s="405"/>
      <c r="O59" s="405"/>
      <c r="P59" s="405"/>
      <c r="Q59" s="405"/>
      <c r="R59" s="405"/>
      <c r="S59" s="405"/>
      <c r="T59" s="405"/>
      <c r="U59" s="405"/>
      <c r="V59" s="405"/>
      <c r="W59" s="405"/>
      <c r="X59" s="405"/>
      <c r="Y59" s="405"/>
      <c r="Z59" s="405"/>
      <c r="AA59" s="405"/>
      <c r="AB59" s="405"/>
      <c r="AC59" s="405"/>
    </row>
    <row r="60" spans="1:29" x14ac:dyDescent="0.35">
      <c r="A60" s="264"/>
      <c r="B60" s="289" t="s">
        <v>622</v>
      </c>
      <c r="C60" s="266" t="s">
        <v>96</v>
      </c>
      <c r="D60" s="273">
        <f>1/(2*PI()*SQRT(D50*0.000001*D43*0.000000000001))/1000000</f>
        <v>124.84715297370403</v>
      </c>
      <c r="E60" s="250" t="s">
        <v>0</v>
      </c>
      <c r="F60" s="280"/>
      <c r="G60" s="263" t="s">
        <v>551</v>
      </c>
      <c r="H60" s="405"/>
      <c r="I60" s="405"/>
      <c r="J60" s="405"/>
      <c r="K60" s="405"/>
      <c r="L60" s="405"/>
      <c r="M60" s="405"/>
      <c r="N60" s="405"/>
      <c r="O60" s="405"/>
      <c r="P60" s="405"/>
      <c r="Q60" s="405"/>
      <c r="R60" s="405"/>
      <c r="S60" s="405"/>
      <c r="T60" s="405"/>
      <c r="U60" s="405"/>
      <c r="V60" s="405"/>
      <c r="W60" s="405"/>
      <c r="X60" s="405"/>
      <c r="Y60" s="405"/>
      <c r="Z60" s="405"/>
      <c r="AA60" s="405"/>
      <c r="AB60" s="405"/>
      <c r="AC60" s="405"/>
    </row>
    <row r="61" spans="1:29" ht="18.5" x14ac:dyDescent="0.45">
      <c r="A61" s="264"/>
      <c r="B61" s="363" t="s">
        <v>452</v>
      </c>
      <c r="C61" s="293" t="s">
        <v>453</v>
      </c>
      <c r="D61" s="230">
        <v>2</v>
      </c>
      <c r="E61" s="294" t="s">
        <v>34</v>
      </c>
      <c r="F61" s="295"/>
      <c r="G61" s="252" t="s">
        <v>464</v>
      </c>
      <c r="H61" s="405"/>
      <c r="I61" s="405"/>
      <c r="J61" s="405"/>
      <c r="K61" s="405"/>
      <c r="L61" s="405"/>
      <c r="M61" s="405"/>
      <c r="N61" s="405"/>
      <c r="O61" s="405"/>
      <c r="P61" s="405"/>
      <c r="Q61" s="405"/>
      <c r="R61" s="405"/>
      <c r="S61" s="405"/>
      <c r="T61" s="405"/>
      <c r="U61" s="405"/>
      <c r="V61" s="405"/>
      <c r="W61" s="405"/>
      <c r="X61" s="405"/>
      <c r="Y61" s="405"/>
      <c r="Z61" s="405"/>
      <c r="AA61" s="405"/>
      <c r="AB61" s="405"/>
      <c r="AC61" s="405"/>
    </row>
    <row r="62" spans="1:29" hidden="1" x14ac:dyDescent="0.35">
      <c r="A62" s="264"/>
      <c r="B62" s="191" t="s">
        <v>454</v>
      </c>
      <c r="C62" s="249"/>
      <c r="D62" s="389">
        <f>D61/D26</f>
        <v>0.5</v>
      </c>
      <c r="E62" s="297"/>
      <c r="F62" s="296"/>
      <c r="G62" s="252"/>
      <c r="H62" s="405"/>
      <c r="I62" s="405"/>
      <c r="J62" s="405"/>
      <c r="K62" s="405"/>
      <c r="L62" s="405"/>
      <c r="M62" s="405"/>
      <c r="N62" s="405"/>
      <c r="O62" s="405"/>
      <c r="P62" s="405"/>
      <c r="Q62" s="405"/>
      <c r="R62" s="405"/>
      <c r="S62" s="405"/>
      <c r="T62" s="405"/>
      <c r="U62" s="405"/>
      <c r="V62" s="405"/>
      <c r="W62" s="405"/>
      <c r="X62" s="405"/>
      <c r="Y62" s="405"/>
      <c r="Z62" s="405"/>
      <c r="AA62" s="405"/>
      <c r="AB62" s="405"/>
      <c r="AC62" s="405"/>
    </row>
    <row r="63" spans="1:29" hidden="1" x14ac:dyDescent="0.35">
      <c r="A63" s="264"/>
      <c r="B63" s="191" t="s">
        <v>455</v>
      </c>
      <c r="C63" s="249"/>
      <c r="D63" s="389">
        <f xml:space="preserve"> 12.413*D62^4 - 11.107*D62^3 - 1.1159*D62^2 + 3.6107*D62+ 0.0669</f>
        <v>0.9807125000000001</v>
      </c>
      <c r="E63" s="297"/>
      <c r="F63" s="296"/>
      <c r="G63" s="252"/>
      <c r="H63" s="405"/>
      <c r="I63" s="405"/>
      <c r="J63" s="405"/>
      <c r="K63" s="405"/>
      <c r="L63" s="405"/>
      <c r="M63" s="405"/>
      <c r="N63" s="405"/>
      <c r="O63" s="405"/>
      <c r="P63" s="405"/>
      <c r="Q63" s="405"/>
      <c r="R63" s="405"/>
      <c r="S63" s="405"/>
      <c r="T63" s="405"/>
      <c r="U63" s="405"/>
      <c r="V63" s="405"/>
      <c r="W63" s="405"/>
      <c r="X63" s="405"/>
      <c r="Y63" s="405"/>
      <c r="Z63" s="405"/>
      <c r="AA63" s="405"/>
      <c r="AB63" s="405"/>
      <c r="AC63" s="405"/>
    </row>
    <row r="64" spans="1:29" hidden="1" x14ac:dyDescent="0.35">
      <c r="A64" s="264"/>
      <c r="B64" s="191" t="s">
        <v>456</v>
      </c>
      <c r="C64" s="249"/>
      <c r="D64" s="389">
        <f>MIN(D63,1)</f>
        <v>0.9807125000000001</v>
      </c>
      <c r="E64" s="297"/>
      <c r="F64" s="296"/>
      <c r="G64" s="252"/>
      <c r="H64" s="405"/>
      <c r="I64" s="405"/>
      <c r="J64" s="405"/>
      <c r="K64" s="405"/>
      <c r="L64" s="405"/>
      <c r="M64" s="405"/>
      <c r="N64" s="405"/>
      <c r="O64" s="405"/>
      <c r="P64" s="405"/>
      <c r="Q64" s="405"/>
      <c r="R64" s="405"/>
      <c r="S64" s="405"/>
      <c r="T64" s="405"/>
      <c r="U64" s="405"/>
      <c r="V64" s="405"/>
      <c r="W64" s="405"/>
      <c r="X64" s="405"/>
      <c r="Y64" s="405"/>
      <c r="Z64" s="405"/>
      <c r="AA64" s="405"/>
      <c r="AB64" s="405"/>
      <c r="AC64" s="405"/>
    </row>
    <row r="65" spans="1:29" hidden="1" x14ac:dyDescent="0.35">
      <c r="A65" s="264"/>
      <c r="B65" s="190" t="s">
        <v>457</v>
      </c>
      <c r="C65" s="306"/>
      <c r="D65" s="392">
        <v>1</v>
      </c>
      <c r="E65" s="298"/>
      <c r="F65" s="296"/>
      <c r="G65" s="252"/>
      <c r="H65" s="405"/>
      <c r="I65" s="405"/>
      <c r="J65" s="405"/>
      <c r="K65" s="405"/>
      <c r="L65" s="405"/>
      <c r="M65" s="405"/>
      <c r="N65" s="405"/>
      <c r="O65" s="405"/>
      <c r="P65" s="405"/>
      <c r="Q65" s="405"/>
      <c r="R65" s="405"/>
      <c r="S65" s="405"/>
      <c r="T65" s="405"/>
      <c r="U65" s="405"/>
      <c r="V65" s="405"/>
      <c r="W65" s="405"/>
      <c r="X65" s="405"/>
      <c r="Y65" s="405"/>
      <c r="Z65" s="405"/>
      <c r="AA65" s="405"/>
      <c r="AB65" s="405"/>
      <c r="AC65" s="405"/>
    </row>
    <row r="66" spans="1:29" hidden="1" x14ac:dyDescent="0.35">
      <c r="A66" s="264"/>
      <c r="B66" s="190" t="s">
        <v>646</v>
      </c>
      <c r="C66" s="306"/>
      <c r="D66" s="393">
        <f>(0.00406832344757895+15.5588911/(1+(D26/0.0358077078721068)^0.865185989584669))+(0.973523646945684-1.1322846019223/(1+(D26/1.1356393338887)^1.06847511981245))*(1-EXP(-(10.3324121181807-56.0213701830392/(1+(D26/0.0139455036722347)^0.572123422421793))*D62))</f>
        <v>0.99011953710585598</v>
      </c>
      <c r="E66" s="393"/>
      <c r="F66" s="296"/>
      <c r="G66" s="439" t="s">
        <v>648</v>
      </c>
      <c r="H66" s="405"/>
      <c r="I66" s="405"/>
      <c r="J66" s="405"/>
      <c r="K66" s="405"/>
      <c r="L66" s="405"/>
      <c r="M66" s="405"/>
      <c r="N66" s="405"/>
      <c r="O66" s="405"/>
      <c r="P66" s="405"/>
      <c r="Q66" s="405"/>
      <c r="R66" s="405"/>
      <c r="S66" s="405"/>
      <c r="T66" s="405"/>
      <c r="U66" s="405"/>
      <c r="V66" s="405"/>
      <c r="W66" s="405"/>
      <c r="X66" s="405"/>
      <c r="Y66" s="405"/>
      <c r="Z66" s="405"/>
      <c r="AA66" s="405"/>
      <c r="AB66" s="405"/>
      <c r="AC66" s="405"/>
    </row>
    <row r="67" spans="1:29" hidden="1" x14ac:dyDescent="0.35">
      <c r="A67" s="264"/>
      <c r="B67" s="190" t="s">
        <v>647</v>
      </c>
      <c r="C67" s="306"/>
      <c r="D67" s="394">
        <f>IF(D66&gt;1,1,IF(D66&lt;0.001,0.001,D66))</f>
        <v>0.99011953710585598</v>
      </c>
      <c r="E67" s="298"/>
      <c r="F67" s="296"/>
      <c r="G67" s="438" t="s">
        <v>649</v>
      </c>
      <c r="H67" s="405"/>
      <c r="I67" s="405"/>
      <c r="J67" s="405"/>
      <c r="K67" s="405"/>
      <c r="L67" s="405"/>
      <c r="M67" s="405"/>
      <c r="N67" s="405"/>
      <c r="O67" s="405"/>
      <c r="P67" s="405"/>
      <c r="Q67" s="405"/>
      <c r="R67" s="405"/>
      <c r="S67" s="405"/>
      <c r="T67" s="405"/>
      <c r="U67" s="405"/>
      <c r="V67" s="405"/>
      <c r="W67" s="405"/>
      <c r="X67" s="405"/>
      <c r="Y67" s="405"/>
      <c r="Z67" s="405"/>
      <c r="AA67" s="405"/>
      <c r="AB67" s="405"/>
      <c r="AC67" s="405"/>
    </row>
    <row r="68" spans="1:29" hidden="1" x14ac:dyDescent="0.35">
      <c r="A68" s="264"/>
      <c r="B68" s="190" t="s">
        <v>547</v>
      </c>
      <c r="C68" s="306" t="s">
        <v>548</v>
      </c>
      <c r="D68" s="394">
        <f>SQRT(D40/(4*PI()*PI()*0.1*D42*D78))*1000</f>
        <v>1.3022439865747854E-2</v>
      </c>
      <c r="E68" s="364" t="s">
        <v>34</v>
      </c>
      <c r="F68" s="296"/>
      <c r="G68" s="252"/>
      <c r="H68" s="405"/>
      <c r="I68" s="405"/>
      <c r="J68" s="405"/>
      <c r="K68" s="405"/>
      <c r="L68" s="405"/>
      <c r="M68" s="405"/>
      <c r="N68" s="405"/>
      <c r="O68" s="405"/>
      <c r="P68" s="405"/>
      <c r="Q68" s="405"/>
      <c r="R68" s="405"/>
      <c r="S68" s="405"/>
      <c r="T68" s="405"/>
      <c r="U68" s="405"/>
      <c r="V68" s="405"/>
      <c r="W68" s="405"/>
      <c r="X68" s="405"/>
      <c r="Y68" s="405"/>
      <c r="Z68" s="405"/>
      <c r="AA68" s="405"/>
      <c r="AB68" s="405"/>
      <c r="AC68" s="405"/>
    </row>
    <row r="69" spans="1:29" hidden="1" x14ac:dyDescent="0.35">
      <c r="A69" s="264"/>
      <c r="B69" s="190" t="s">
        <v>549</v>
      </c>
      <c r="C69" s="306" t="s">
        <v>451</v>
      </c>
      <c r="D69" s="206">
        <f>D54*F39/(D68*(1-EXP(-F39/D68)))</f>
        <v>2.1557182299448496</v>
      </c>
      <c r="E69" s="367" t="s">
        <v>89</v>
      </c>
      <c r="F69" s="296"/>
      <c r="G69" s="252"/>
      <c r="H69" s="405"/>
      <c r="I69" s="405"/>
      <c r="J69" s="405"/>
      <c r="K69" s="405"/>
      <c r="L69" s="405"/>
      <c r="M69" s="405"/>
      <c r="N69" s="405"/>
      <c r="O69" s="405"/>
      <c r="P69" s="405"/>
      <c r="Q69" s="405"/>
      <c r="R69" s="405"/>
      <c r="S69" s="405"/>
      <c r="T69" s="405"/>
      <c r="U69" s="405"/>
      <c r="V69" s="405"/>
      <c r="W69" s="405"/>
      <c r="X69" s="405"/>
      <c r="Y69" s="405"/>
      <c r="Z69" s="405"/>
      <c r="AA69" s="405"/>
      <c r="AB69" s="405"/>
      <c r="AC69" s="405"/>
    </row>
    <row r="70" spans="1:29" hidden="1" x14ac:dyDescent="0.35">
      <c r="A70" s="264"/>
      <c r="B70" s="190" t="s">
        <v>550</v>
      </c>
      <c r="C70" s="306" t="s">
        <v>93</v>
      </c>
      <c r="D70" s="192">
        <f>(1/D69)*(D77*0.000001/(D22*0.000000000001))</f>
        <v>1866.0299996161107</v>
      </c>
      <c r="E70" s="291" t="s">
        <v>89</v>
      </c>
      <c r="F70" s="296"/>
      <c r="G70" s="252"/>
      <c r="H70" s="405"/>
      <c r="I70" s="405"/>
      <c r="J70" s="405"/>
      <c r="K70" s="405"/>
      <c r="L70" s="405"/>
      <c r="M70" s="405"/>
      <c r="N70" s="405"/>
      <c r="O70" s="405"/>
      <c r="P70" s="405"/>
      <c r="Q70" s="405"/>
      <c r="R70" s="405"/>
      <c r="S70" s="405"/>
      <c r="T70" s="405"/>
      <c r="U70" s="405"/>
      <c r="V70" s="405"/>
      <c r="W70" s="405"/>
      <c r="X70" s="405"/>
      <c r="Y70" s="405"/>
      <c r="Z70" s="405"/>
      <c r="AA70" s="405"/>
      <c r="AB70" s="405"/>
      <c r="AC70" s="405"/>
    </row>
    <row r="71" spans="1:29" hidden="1" x14ac:dyDescent="0.35">
      <c r="A71" s="264"/>
      <c r="B71" s="190" t="s">
        <v>552</v>
      </c>
      <c r="C71" s="306"/>
      <c r="D71" s="192">
        <f>INDEX(H98:H103,MATCH(D20,B98:B103,0))</f>
        <v>1</v>
      </c>
      <c r="E71" s="291" t="s">
        <v>0</v>
      </c>
      <c r="F71" s="296"/>
      <c r="G71" s="252"/>
      <c r="H71" s="405"/>
      <c r="I71" s="405"/>
      <c r="J71" s="405"/>
      <c r="K71" s="405"/>
      <c r="L71" s="405"/>
      <c r="M71" s="405"/>
      <c r="N71" s="405"/>
      <c r="O71" s="405"/>
      <c r="P71" s="405"/>
      <c r="Q71" s="405"/>
      <c r="R71" s="405"/>
      <c r="S71" s="405"/>
      <c r="T71" s="405"/>
      <c r="U71" s="405"/>
      <c r="V71" s="405"/>
      <c r="W71" s="405"/>
      <c r="X71" s="405"/>
      <c r="Y71" s="405"/>
      <c r="Z71" s="405"/>
      <c r="AA71" s="405"/>
      <c r="AB71" s="405"/>
      <c r="AC71" s="405"/>
    </row>
    <row r="72" spans="1:29" hidden="1" x14ac:dyDescent="0.35">
      <c r="A72" s="264"/>
      <c r="B72" s="190" t="s">
        <v>553</v>
      </c>
      <c r="C72" s="306"/>
      <c r="D72" s="192">
        <f>INDEX(I98:I103,MATCH(D20,B98:B103,0))</f>
        <v>30</v>
      </c>
      <c r="E72" s="291" t="s">
        <v>0</v>
      </c>
      <c r="F72" s="296"/>
      <c r="G72" s="252"/>
      <c r="H72" s="405"/>
      <c r="I72" s="405"/>
      <c r="J72" s="405"/>
      <c r="K72" s="405"/>
      <c r="L72" s="405"/>
      <c r="M72" s="405"/>
      <c r="N72" s="405"/>
      <c r="O72" s="405"/>
      <c r="P72" s="405"/>
      <c r="Q72" s="405"/>
      <c r="R72" s="405"/>
      <c r="S72" s="405"/>
      <c r="T72" s="405"/>
      <c r="U72" s="405"/>
      <c r="V72" s="405"/>
      <c r="W72" s="405"/>
      <c r="X72" s="405"/>
      <c r="Y72" s="405"/>
      <c r="Z72" s="405"/>
      <c r="AA72" s="405"/>
      <c r="AB72" s="405"/>
      <c r="AC72" s="405"/>
    </row>
    <row r="73" spans="1:29" hidden="1" x14ac:dyDescent="0.35">
      <c r="A73" s="264"/>
      <c r="B73" s="190" t="s">
        <v>554</v>
      </c>
      <c r="C73" s="306"/>
      <c r="D73" s="192">
        <f>INDEX(C98:C103,MATCH(D20,B98:B103,0))</f>
        <v>0.35</v>
      </c>
      <c r="E73" s="291" t="s">
        <v>257</v>
      </c>
      <c r="F73" s="296"/>
      <c r="G73" s="252"/>
      <c r="H73" s="405"/>
      <c r="I73" s="405"/>
      <c r="J73" s="405"/>
      <c r="K73" s="405"/>
      <c r="L73" s="405"/>
      <c r="M73" s="405"/>
      <c r="N73" s="405"/>
      <c r="O73" s="405"/>
      <c r="P73" s="405"/>
      <c r="Q73" s="405"/>
      <c r="R73" s="405"/>
      <c r="S73" s="405"/>
      <c r="T73" s="405"/>
      <c r="U73" s="405"/>
      <c r="V73" s="405"/>
      <c r="W73" s="405"/>
      <c r="X73" s="405"/>
      <c r="Y73" s="405"/>
      <c r="Z73" s="405"/>
      <c r="AA73" s="405"/>
      <c r="AB73" s="405"/>
      <c r="AC73" s="405"/>
    </row>
    <row r="74" spans="1:29" hidden="1" x14ac:dyDescent="0.35">
      <c r="A74" s="264"/>
      <c r="B74" s="190" t="s">
        <v>555</v>
      </c>
      <c r="C74" s="306"/>
      <c r="D74" s="192">
        <f>INDEX(D98:D103,MATCH(D20,B98:B103,0))</f>
        <v>10</v>
      </c>
      <c r="E74" s="291" t="s">
        <v>257</v>
      </c>
      <c r="F74" s="296"/>
      <c r="G74" s="252"/>
      <c r="H74" s="405"/>
      <c r="I74" s="405"/>
      <c r="J74" s="405"/>
      <c r="K74" s="405"/>
      <c r="L74" s="405"/>
      <c r="M74" s="405"/>
      <c r="N74" s="405"/>
      <c r="O74" s="405"/>
      <c r="P74" s="405"/>
      <c r="Q74" s="405"/>
      <c r="R74" s="405"/>
      <c r="S74" s="405"/>
      <c r="T74" s="405"/>
      <c r="U74" s="405"/>
      <c r="V74" s="405"/>
      <c r="W74" s="405"/>
      <c r="X74" s="405"/>
      <c r="Y74" s="405"/>
      <c r="Z74" s="405"/>
      <c r="AA74" s="405"/>
      <c r="AB74" s="405"/>
      <c r="AC74" s="405"/>
    </row>
    <row r="75" spans="1:29" hidden="1" x14ac:dyDescent="0.35">
      <c r="A75" s="264"/>
      <c r="B75" s="190" t="s">
        <v>556</v>
      </c>
      <c r="C75" s="306"/>
      <c r="D75" s="192">
        <f>INDEX(E98:E103,MATCH(D20,B98:B103,0))</f>
        <v>5</v>
      </c>
      <c r="E75" s="291"/>
      <c r="F75" s="296"/>
      <c r="G75" s="252"/>
      <c r="H75" s="405"/>
      <c r="I75" s="405"/>
      <c r="J75" s="405"/>
      <c r="K75" s="405"/>
      <c r="L75" s="405"/>
      <c r="M75" s="405"/>
      <c r="N75" s="405"/>
      <c r="O75" s="405"/>
      <c r="P75" s="405"/>
      <c r="Q75" s="405"/>
      <c r="R75" s="405"/>
      <c r="S75" s="405"/>
      <c r="T75" s="405"/>
      <c r="U75" s="405"/>
      <c r="V75" s="405"/>
      <c r="W75" s="405"/>
      <c r="X75" s="405"/>
      <c r="Y75" s="405"/>
      <c r="Z75" s="405"/>
      <c r="AA75" s="405"/>
      <c r="AB75" s="405"/>
      <c r="AC75" s="405"/>
    </row>
    <row r="76" spans="1:29" hidden="1" x14ac:dyDescent="0.35">
      <c r="A76" s="264"/>
      <c r="B76" s="190" t="s">
        <v>557</v>
      </c>
      <c r="C76" s="306"/>
      <c r="D76" s="192">
        <f>INDEX(G98:G103,MATCH(D20,B98:B103,0))</f>
        <v>30</v>
      </c>
      <c r="E76" s="291"/>
      <c r="F76" s="296"/>
      <c r="G76" s="252"/>
      <c r="H76" s="405"/>
      <c r="I76" s="405"/>
      <c r="J76" s="405"/>
      <c r="K76" s="405"/>
      <c r="L76" s="405"/>
      <c r="M76" s="405"/>
      <c r="N76" s="405"/>
      <c r="O76" s="405"/>
      <c r="P76" s="405"/>
      <c r="Q76" s="405"/>
      <c r="R76" s="405"/>
      <c r="S76" s="405"/>
      <c r="T76" s="405"/>
      <c r="U76" s="405"/>
      <c r="V76" s="405"/>
      <c r="W76" s="405"/>
      <c r="X76" s="405"/>
      <c r="Y76" s="405"/>
      <c r="Z76" s="405"/>
      <c r="AA76" s="405"/>
      <c r="AB76" s="405"/>
      <c r="AC76" s="405"/>
    </row>
    <row r="77" spans="1:29" ht="18.5" x14ac:dyDescent="0.45">
      <c r="A77" s="264"/>
      <c r="B77" s="299" t="s">
        <v>458</v>
      </c>
      <c r="C77" s="300" t="s">
        <v>459</v>
      </c>
      <c r="D77" s="301">
        <f>D67*D50</f>
        <v>0.40226348877964307</v>
      </c>
      <c r="E77" s="277" t="s">
        <v>545</v>
      </c>
      <c r="F77" s="296"/>
      <c r="G77" s="252"/>
      <c r="H77" s="405"/>
      <c r="I77" s="405"/>
      <c r="J77" s="405"/>
      <c r="K77" s="405"/>
      <c r="L77" s="405"/>
      <c r="M77" s="405"/>
      <c r="N77" s="405"/>
      <c r="O77" s="405"/>
      <c r="P77" s="405"/>
      <c r="Q77" s="405"/>
      <c r="R77" s="405"/>
      <c r="S77" s="405"/>
      <c r="T77" s="405"/>
      <c r="U77" s="405"/>
      <c r="V77" s="405"/>
      <c r="W77" s="405"/>
      <c r="X77" s="405"/>
      <c r="Y77" s="405"/>
      <c r="Z77" s="405"/>
      <c r="AA77" s="405"/>
      <c r="AB77" s="405"/>
      <c r="AC77" s="405"/>
    </row>
    <row r="78" spans="1:29" ht="18.5" x14ac:dyDescent="0.45">
      <c r="A78" s="264"/>
      <c r="B78" s="299" t="s">
        <v>460</v>
      </c>
      <c r="C78" s="266" t="s">
        <v>625</v>
      </c>
      <c r="D78" s="301">
        <f>IF(D20="LDC0851",1000/(PI()*SQRT(2*D22*D77)),1000/(2*PI()*SQRT(D22*D77)))</f>
        <v>25.093707054732722</v>
      </c>
      <c r="E78" s="302" t="s">
        <v>0</v>
      </c>
      <c r="F78" s="296"/>
      <c r="G78" s="365" t="str">
        <f>IF(ISERROR(D78),"",IF(D78&lt;D71,"Fsensor is too low",IF(D78&gt;D72,"Fsensor is too high - increase L or C","")))</f>
        <v/>
      </c>
      <c r="H78" s="405"/>
      <c r="I78" s="405"/>
      <c r="J78" s="405"/>
      <c r="K78" s="405"/>
      <c r="L78" s="405"/>
      <c r="M78" s="405"/>
      <c r="N78" s="405"/>
      <c r="O78" s="405"/>
      <c r="P78" s="405"/>
      <c r="Q78" s="405"/>
      <c r="R78" s="405"/>
      <c r="S78" s="405"/>
      <c r="T78" s="405"/>
      <c r="U78" s="405"/>
      <c r="V78" s="405"/>
      <c r="W78" s="405"/>
      <c r="X78" s="405"/>
      <c r="Y78" s="405"/>
      <c r="Z78" s="405"/>
      <c r="AA78" s="405"/>
      <c r="AB78" s="405"/>
      <c r="AC78" s="405"/>
    </row>
    <row r="79" spans="1:29" ht="18.5" x14ac:dyDescent="0.45">
      <c r="A79" s="264"/>
      <c r="B79" s="303" t="s">
        <v>461</v>
      </c>
      <c r="C79" s="300" t="s">
        <v>627</v>
      </c>
      <c r="D79" s="304">
        <f>D70/1000</f>
        <v>1.8660299996161107</v>
      </c>
      <c r="E79" s="305" t="s">
        <v>257</v>
      </c>
      <c r="F79" s="296"/>
      <c r="G79" s="365" t="str">
        <f>IF(ISERROR(D79),"",IF(D79&lt;D73,"Sensor Rp is too low - try a lower C or higher L",IF(D79&gt;D74,"Sensor Rp too high","")))</f>
        <v/>
      </c>
      <c r="H79" s="405"/>
      <c r="I79" s="405"/>
      <c r="J79" s="405"/>
      <c r="K79" s="405"/>
      <c r="L79" s="405"/>
      <c r="M79" s="405"/>
      <c r="N79" s="405"/>
      <c r="O79" s="405"/>
      <c r="P79" s="405"/>
      <c r="Q79" s="405"/>
      <c r="R79" s="405"/>
      <c r="S79" s="405"/>
      <c r="T79" s="405"/>
      <c r="U79" s="405"/>
      <c r="V79" s="405"/>
      <c r="W79" s="405"/>
      <c r="X79" s="405"/>
      <c r="Y79" s="405"/>
      <c r="Z79" s="405"/>
      <c r="AA79" s="405"/>
      <c r="AB79" s="405"/>
      <c r="AC79" s="405"/>
    </row>
    <row r="80" spans="1:29" ht="18.5" x14ac:dyDescent="0.45">
      <c r="B80" s="299" t="s">
        <v>462</v>
      </c>
      <c r="C80" s="300" t="s">
        <v>463</v>
      </c>
      <c r="D80" s="366">
        <f>(D79)*SQRT(D22/D77)</f>
        <v>29.421398579290624</v>
      </c>
      <c r="E80" s="298"/>
      <c r="F80" s="296"/>
      <c r="G80" s="365" t="str">
        <f>IF(ISERROR(D80),"",IF(D80&lt;D75,"Sensor Q is too low",IF(D80&gt;D76,"Sensor Q too high","")))</f>
        <v/>
      </c>
      <c r="H80" s="405"/>
      <c r="I80" s="405"/>
      <c r="J80" s="405"/>
      <c r="K80" s="405"/>
      <c r="L80" s="405"/>
      <c r="M80" s="405"/>
      <c r="N80" s="405"/>
      <c r="O80" s="405"/>
      <c r="P80" s="405"/>
      <c r="Q80" s="405"/>
      <c r="R80" s="405"/>
      <c r="S80" s="405"/>
      <c r="T80" s="405"/>
      <c r="U80" s="405"/>
      <c r="V80" s="405"/>
      <c r="W80" s="405"/>
      <c r="X80" s="405"/>
      <c r="Y80" s="405"/>
      <c r="Z80" s="405"/>
      <c r="AA80" s="405"/>
      <c r="AB80" s="405"/>
      <c r="AC80" s="405"/>
    </row>
    <row r="81" spans="2:29" ht="18.5" hidden="1" x14ac:dyDescent="0.45">
      <c r="B81" s="401" t="s">
        <v>613</v>
      </c>
      <c r="C81" s="300" t="s">
        <v>611</v>
      </c>
      <c r="D81" s="400">
        <f>0.001*ROUND((100*D22/D80),-2)</f>
        <v>0.3</v>
      </c>
      <c r="E81" s="387" t="s">
        <v>620</v>
      </c>
      <c r="F81" s="296"/>
      <c r="G81" s="365"/>
      <c r="H81" s="405"/>
      <c r="I81" s="405"/>
      <c r="J81" s="405"/>
      <c r="K81" s="405"/>
      <c r="L81" s="405"/>
      <c r="M81" s="405"/>
      <c r="N81" s="405"/>
      <c r="O81" s="405"/>
      <c r="P81" s="405"/>
      <c r="Q81" s="405"/>
      <c r="R81" s="405"/>
      <c r="S81" s="405"/>
      <c r="T81" s="405"/>
      <c r="U81" s="405"/>
      <c r="V81" s="405"/>
      <c r="W81" s="405"/>
      <c r="X81" s="405"/>
      <c r="Y81" s="405"/>
      <c r="Z81" s="405"/>
      <c r="AA81" s="405"/>
      <c r="AB81" s="405"/>
      <c r="AC81" s="405"/>
    </row>
    <row r="82" spans="2:29" ht="18.5" hidden="1" x14ac:dyDescent="0.45">
      <c r="B82" s="401" t="s">
        <v>614</v>
      </c>
      <c r="C82" s="300" t="s">
        <v>612</v>
      </c>
      <c r="D82" s="400">
        <f>0.001*ROUND((1250*D22/D80),-1)</f>
        <v>4.25</v>
      </c>
      <c r="E82" s="387" t="s">
        <v>620</v>
      </c>
      <c r="F82" s="296"/>
      <c r="G82" s="365"/>
      <c r="H82" s="405"/>
      <c r="I82" s="405"/>
      <c r="J82" s="405"/>
      <c r="K82" s="405"/>
      <c r="L82" s="405"/>
      <c r="M82" s="405"/>
      <c r="N82" s="405"/>
      <c r="O82" s="405"/>
      <c r="P82" s="405"/>
      <c r="Q82" s="405"/>
      <c r="R82" s="405"/>
      <c r="S82" s="405"/>
      <c r="T82" s="405"/>
      <c r="U82" s="405"/>
      <c r="V82" s="405"/>
      <c r="W82" s="405"/>
      <c r="X82" s="405"/>
      <c r="Y82" s="405"/>
      <c r="Z82" s="405"/>
      <c r="AA82" s="405"/>
      <c r="AB82" s="405"/>
      <c r="AC82" s="405"/>
    </row>
    <row r="83" spans="2:29" ht="18.5" x14ac:dyDescent="0.45">
      <c r="B83" s="386" t="str">
        <f>IF(D20=B103,B105,"")</f>
        <v>Ccom Value (with Target)</v>
      </c>
      <c r="C83" s="190" t="str">
        <f>IF(D20=B103,C105,"")</f>
        <v>Ccom</v>
      </c>
      <c r="D83" s="390" t="str">
        <f>IF(D20=B103,TEXT(D81,"##0.0#")&amp;"&lt; C &lt;"&amp;TEXT(D82,"###.0"),"")</f>
        <v>0.3&lt; C &lt;4.3</v>
      </c>
      <c r="E83" s="391" t="str">
        <f>IF(D20=B103,"nF","")</f>
        <v>nF</v>
      </c>
      <c r="F83" s="387"/>
      <c r="G83" s="388"/>
      <c r="H83" s="405"/>
      <c r="I83" s="405"/>
      <c r="J83" s="405"/>
      <c r="K83" s="405"/>
      <c r="L83" s="405"/>
      <c r="M83" s="405"/>
      <c r="N83" s="405"/>
      <c r="O83" s="405"/>
      <c r="P83" s="405"/>
      <c r="Q83" s="405"/>
      <c r="R83" s="405"/>
      <c r="S83" s="405"/>
      <c r="T83" s="405"/>
      <c r="U83" s="405"/>
      <c r="V83" s="405"/>
      <c r="W83" s="405"/>
      <c r="X83" s="405"/>
      <c r="Y83" s="405"/>
      <c r="Z83" s="405"/>
      <c r="AA83" s="405"/>
      <c r="AB83" s="405"/>
      <c r="AC83" s="405"/>
    </row>
    <row r="84" spans="2:29" x14ac:dyDescent="0.35">
      <c r="B84" s="405"/>
      <c r="C84" s="405"/>
      <c r="D84" s="407"/>
      <c r="E84" s="407"/>
      <c r="F84" s="407"/>
      <c r="G84" s="408"/>
      <c r="H84" s="405"/>
      <c r="I84" s="405"/>
      <c r="J84" s="405"/>
      <c r="K84" s="405"/>
      <c r="L84" s="405"/>
      <c r="M84" s="405"/>
      <c r="N84" s="405"/>
      <c r="O84" s="405"/>
      <c r="P84" s="405"/>
      <c r="Q84" s="405"/>
      <c r="R84" s="405"/>
      <c r="S84" s="405"/>
      <c r="T84" s="405"/>
      <c r="U84" s="405"/>
      <c r="V84" s="405"/>
    </row>
    <row r="85" spans="2:29" ht="15.5" x14ac:dyDescent="0.35">
      <c r="B85" s="414"/>
      <c r="C85" s="415"/>
      <c r="D85" s="415"/>
      <c r="E85" s="415"/>
      <c r="F85" s="407"/>
      <c r="G85" s="408"/>
      <c r="H85" s="405"/>
      <c r="I85" s="405"/>
      <c r="J85" s="405"/>
      <c r="K85" s="405"/>
      <c r="L85" s="405"/>
      <c r="M85" s="405"/>
      <c r="N85" s="405"/>
      <c r="O85" s="405"/>
      <c r="P85" s="405"/>
      <c r="Q85" s="405"/>
      <c r="R85" s="405"/>
      <c r="S85" s="405"/>
      <c r="T85" s="405"/>
      <c r="U85" s="405"/>
      <c r="V85" s="405"/>
    </row>
    <row r="86" spans="2:29" x14ac:dyDescent="0.35">
      <c r="B86" s="405"/>
      <c r="C86" s="405"/>
      <c r="D86" s="407"/>
      <c r="E86" s="407"/>
      <c r="F86" s="407"/>
      <c r="G86" s="408"/>
      <c r="H86" s="405"/>
      <c r="I86" s="405"/>
      <c r="J86" s="405"/>
      <c r="K86" s="405"/>
      <c r="L86" s="405"/>
      <c r="M86" s="405"/>
      <c r="N86" s="405"/>
      <c r="O86" s="405"/>
      <c r="P86" s="405"/>
      <c r="Q86" s="405"/>
      <c r="R86" s="405"/>
      <c r="S86" s="405"/>
      <c r="T86" s="405"/>
      <c r="U86" s="405"/>
      <c r="V86" s="405"/>
    </row>
    <row r="87" spans="2:29" x14ac:dyDescent="0.35">
      <c r="B87" s="405"/>
      <c r="C87" s="405"/>
      <c r="D87" s="406"/>
      <c r="E87" s="407"/>
      <c r="F87" s="407"/>
      <c r="G87" s="408"/>
      <c r="H87" s="405"/>
      <c r="I87" s="405"/>
      <c r="J87" s="405"/>
      <c r="K87" s="405"/>
      <c r="L87" s="405"/>
      <c r="M87" s="405"/>
      <c r="N87" s="405"/>
      <c r="O87" s="405"/>
      <c r="P87" s="405"/>
      <c r="Q87" s="405"/>
      <c r="R87" s="405"/>
      <c r="S87" s="405"/>
      <c r="T87" s="405"/>
      <c r="U87" s="405"/>
      <c r="V87" s="405"/>
    </row>
    <row r="88" spans="2:29" x14ac:dyDescent="0.35">
      <c r="B88" s="405"/>
      <c r="C88" s="405"/>
      <c r="D88" s="406"/>
      <c r="E88" s="407"/>
      <c r="F88" s="407"/>
      <c r="G88" s="408"/>
      <c r="H88" s="405"/>
      <c r="I88" s="405"/>
      <c r="J88" s="405"/>
      <c r="K88" s="405"/>
      <c r="L88" s="405"/>
      <c r="M88" s="405"/>
      <c r="N88" s="405"/>
      <c r="O88" s="405"/>
      <c r="P88" s="405"/>
      <c r="Q88" s="405"/>
      <c r="R88" s="405"/>
      <c r="S88" s="405"/>
      <c r="T88" s="405"/>
      <c r="U88" s="405"/>
      <c r="V88" s="405"/>
    </row>
    <row r="89" spans="2:29" x14ac:dyDescent="0.35">
      <c r="B89" s="405"/>
      <c r="C89" s="405"/>
      <c r="D89" s="406"/>
      <c r="E89" s="407"/>
      <c r="F89" s="407"/>
      <c r="G89" s="408"/>
      <c r="H89" s="405"/>
      <c r="I89" s="405"/>
      <c r="J89" s="405"/>
      <c r="K89" s="405"/>
      <c r="L89" s="405"/>
      <c r="M89" s="405"/>
      <c r="N89" s="405"/>
      <c r="O89" s="405"/>
      <c r="P89" s="405"/>
      <c r="Q89" s="405"/>
      <c r="R89" s="405"/>
      <c r="S89" s="405"/>
      <c r="T89" s="405"/>
      <c r="U89" s="405"/>
      <c r="V89" s="405"/>
    </row>
    <row r="90" spans="2:29" s="234" customFormat="1" x14ac:dyDescent="0.35">
      <c r="B90" s="405"/>
      <c r="C90" s="405"/>
      <c r="D90" s="406"/>
      <c r="E90" s="407"/>
      <c r="F90" s="407"/>
      <c r="G90" s="408"/>
      <c r="H90" s="405"/>
      <c r="I90" s="405"/>
      <c r="J90" s="405"/>
      <c r="K90" s="405"/>
      <c r="L90" s="405"/>
      <c r="M90" s="405"/>
      <c r="N90" s="405"/>
      <c r="O90" s="405"/>
      <c r="P90" s="405"/>
      <c r="Q90" s="405"/>
      <c r="R90" s="405"/>
      <c r="S90" s="405"/>
      <c r="T90" s="405"/>
      <c r="U90" s="405"/>
      <c r="V90" s="407"/>
    </row>
    <row r="91" spans="2:29" s="234" customFormat="1" x14ac:dyDescent="0.35">
      <c r="B91" s="405"/>
      <c r="C91" s="405"/>
      <c r="D91" s="406"/>
      <c r="E91" s="407"/>
      <c r="F91" s="407"/>
      <c r="G91" s="408"/>
      <c r="H91" s="405"/>
      <c r="I91" s="405"/>
      <c r="J91" s="405"/>
      <c r="K91" s="405"/>
      <c r="L91" s="405"/>
      <c r="M91" s="405"/>
      <c r="N91" s="405"/>
      <c r="O91" s="405"/>
      <c r="P91" s="405"/>
      <c r="Q91" s="405"/>
      <c r="R91" s="405"/>
      <c r="S91" s="405"/>
      <c r="T91" s="405"/>
      <c r="U91" s="405"/>
      <c r="V91" s="407"/>
    </row>
    <row r="92" spans="2:29" s="234" customFormat="1" x14ac:dyDescent="0.35">
      <c r="B92" s="405"/>
      <c r="C92" s="405"/>
      <c r="D92" s="406"/>
      <c r="E92" s="407"/>
      <c r="F92" s="407"/>
      <c r="G92" s="408"/>
      <c r="H92" s="405"/>
      <c r="I92" s="405"/>
      <c r="J92" s="405"/>
      <c r="K92" s="405"/>
      <c r="L92" s="405"/>
      <c r="M92" s="405"/>
      <c r="N92" s="405"/>
      <c r="O92" s="405"/>
      <c r="P92" s="405"/>
      <c r="Q92" s="405"/>
      <c r="R92" s="405"/>
      <c r="S92" s="405"/>
      <c r="T92" s="405"/>
      <c r="U92" s="405"/>
      <c r="V92" s="407"/>
    </row>
    <row r="93" spans="2:29" x14ac:dyDescent="0.35">
      <c r="B93" s="405"/>
      <c r="C93" s="405"/>
      <c r="D93" s="407"/>
      <c r="E93" s="407"/>
      <c r="F93" s="407"/>
      <c r="G93" s="408"/>
      <c r="H93" s="405"/>
      <c r="I93" s="405"/>
      <c r="J93" s="405"/>
      <c r="K93" s="405"/>
      <c r="L93" s="405"/>
      <c r="M93" s="405"/>
      <c r="N93" s="405"/>
      <c r="O93" s="405"/>
      <c r="P93" s="405"/>
      <c r="Q93" s="405"/>
      <c r="R93" s="405"/>
      <c r="S93" s="405"/>
      <c r="T93" s="405"/>
      <c r="U93" s="405"/>
      <c r="V93" s="405"/>
    </row>
    <row r="94" spans="2:29" x14ac:dyDescent="0.35">
      <c r="B94" s="405"/>
      <c r="C94" s="405"/>
      <c r="D94" s="407"/>
      <c r="E94" s="407"/>
      <c r="F94" s="407"/>
      <c r="G94" s="408"/>
    </row>
    <row r="95" spans="2:29" x14ac:dyDescent="0.35">
      <c r="B95" s="405"/>
      <c r="C95" s="405"/>
      <c r="D95" s="407"/>
      <c r="E95" s="407"/>
      <c r="F95" s="407"/>
      <c r="G95" s="408"/>
    </row>
    <row r="96" spans="2:29" x14ac:dyDescent="0.35">
      <c r="B96" s="405"/>
      <c r="C96" s="405"/>
      <c r="D96" s="407"/>
      <c r="E96" s="407"/>
      <c r="F96" s="407"/>
      <c r="G96" s="408"/>
    </row>
    <row r="97" spans="2:9" hidden="1" x14ac:dyDescent="0.35">
      <c r="B97" s="409" t="s">
        <v>15</v>
      </c>
      <c r="C97" s="409" t="s">
        <v>559</v>
      </c>
      <c r="D97" s="410" t="s">
        <v>560</v>
      </c>
      <c r="E97" s="410" t="s">
        <v>561</v>
      </c>
      <c r="F97" s="410"/>
      <c r="G97" s="410" t="s">
        <v>562</v>
      </c>
      <c r="H97" s="371" t="s">
        <v>563</v>
      </c>
      <c r="I97" s="371" t="s">
        <v>564</v>
      </c>
    </row>
    <row r="98" spans="2:9" hidden="1" x14ac:dyDescent="0.35">
      <c r="B98" s="183" t="s">
        <v>360</v>
      </c>
      <c r="C98" s="183">
        <v>1</v>
      </c>
      <c r="D98" s="411">
        <v>60</v>
      </c>
      <c r="E98" s="411">
        <v>2.5</v>
      </c>
      <c r="F98" s="411"/>
      <c r="G98" s="412">
        <v>100</v>
      </c>
      <c r="H98" s="192">
        <v>0.5</v>
      </c>
      <c r="I98" s="192">
        <v>10</v>
      </c>
    </row>
    <row r="99" spans="2:9" hidden="1" x14ac:dyDescent="0.35">
      <c r="B99" s="183" t="s">
        <v>10</v>
      </c>
      <c r="C99" s="183">
        <v>1</v>
      </c>
      <c r="D99" s="411">
        <v>1000</v>
      </c>
      <c r="E99" s="411">
        <v>2.5</v>
      </c>
      <c r="F99" s="411"/>
      <c r="G99" s="412">
        <v>1000</v>
      </c>
      <c r="H99" s="192">
        <v>5.0000000000000001E-3</v>
      </c>
      <c r="I99" s="192">
        <v>5</v>
      </c>
    </row>
    <row r="100" spans="2:9" hidden="1" x14ac:dyDescent="0.35">
      <c r="B100" s="183" t="s">
        <v>227</v>
      </c>
      <c r="C100" s="183">
        <v>0.25</v>
      </c>
      <c r="D100" s="411">
        <v>500</v>
      </c>
      <c r="E100" s="411">
        <v>2.5</v>
      </c>
      <c r="F100" s="411"/>
      <c r="G100" s="412">
        <v>1000</v>
      </c>
      <c r="H100" s="192">
        <v>1E-3</v>
      </c>
      <c r="I100" s="192">
        <v>10</v>
      </c>
    </row>
    <row r="101" spans="2:9" hidden="1" x14ac:dyDescent="0.35">
      <c r="B101" s="183" t="s">
        <v>228</v>
      </c>
      <c r="C101" s="183">
        <v>0.25</v>
      </c>
      <c r="D101" s="411">
        <v>500</v>
      </c>
      <c r="E101" s="411">
        <v>2.5</v>
      </c>
      <c r="F101" s="411"/>
      <c r="G101" s="412">
        <v>1000</v>
      </c>
      <c r="H101" s="192">
        <v>1E-3</v>
      </c>
      <c r="I101" s="192">
        <v>10</v>
      </c>
    </row>
    <row r="102" spans="2:9" hidden="1" x14ac:dyDescent="0.35">
      <c r="B102" s="183" t="s">
        <v>628</v>
      </c>
      <c r="C102" s="183">
        <v>0.01</v>
      </c>
      <c r="D102" s="411">
        <v>500</v>
      </c>
      <c r="E102" s="411">
        <v>1</v>
      </c>
      <c r="F102" s="411"/>
      <c r="G102" s="412">
        <v>1000</v>
      </c>
      <c r="H102" s="192">
        <v>0.3</v>
      </c>
      <c r="I102" s="192">
        <v>19</v>
      </c>
    </row>
    <row r="103" spans="2:9" hidden="1" x14ac:dyDescent="0.35">
      <c r="B103" s="183" t="s">
        <v>558</v>
      </c>
      <c r="C103" s="183">
        <v>0.35</v>
      </c>
      <c r="D103" s="411">
        <v>10</v>
      </c>
      <c r="E103" s="411">
        <v>5</v>
      </c>
      <c r="F103" s="411"/>
      <c r="G103" s="412">
        <v>30</v>
      </c>
      <c r="H103" s="192">
        <v>1</v>
      </c>
      <c r="I103" s="192">
        <v>30</v>
      </c>
    </row>
    <row r="104" spans="2:9" hidden="1" x14ac:dyDescent="0.35">
      <c r="B104" s="405"/>
      <c r="C104" s="405"/>
      <c r="D104" s="407"/>
      <c r="E104" s="407"/>
      <c r="F104" s="407"/>
      <c r="G104" s="408"/>
    </row>
    <row r="105" spans="2:9" ht="16.5" hidden="1" x14ac:dyDescent="0.45">
      <c r="B105" s="413" t="s">
        <v>616</v>
      </c>
      <c r="C105" s="405" t="s">
        <v>615</v>
      </c>
      <c r="D105" s="407"/>
      <c r="E105" s="407"/>
      <c r="F105" s="407"/>
      <c r="G105" s="408"/>
    </row>
    <row r="106" spans="2:9" x14ac:dyDescent="0.35">
      <c r="B106" s="405"/>
      <c r="C106" s="405"/>
      <c r="D106" s="407"/>
      <c r="E106" s="407"/>
      <c r="F106" s="407"/>
      <c r="G106" s="408"/>
    </row>
    <row r="107" spans="2:9" x14ac:dyDescent="0.35">
      <c r="B107" s="405"/>
      <c r="C107" s="405"/>
      <c r="D107" s="407"/>
      <c r="E107" s="407"/>
      <c r="F107" s="407"/>
      <c r="G107" s="408"/>
    </row>
    <row r="108" spans="2:9" x14ac:dyDescent="0.35">
      <c r="B108" s="405"/>
      <c r="C108" s="405"/>
      <c r="D108" s="407"/>
      <c r="E108" s="407"/>
      <c r="F108" s="407"/>
      <c r="G108" s="408"/>
    </row>
    <row r="109" spans="2:9" x14ac:dyDescent="0.35">
      <c r="B109" s="405"/>
      <c r="C109" s="405"/>
      <c r="D109" s="407"/>
      <c r="E109" s="407"/>
      <c r="F109" s="407"/>
      <c r="G109" s="408"/>
    </row>
    <row r="110" spans="2:9" x14ac:dyDescent="0.35">
      <c r="B110" s="405"/>
      <c r="C110" s="405"/>
      <c r="D110" s="407"/>
      <c r="E110" s="407"/>
      <c r="F110" s="407"/>
      <c r="G110" s="408"/>
    </row>
  </sheetData>
  <sheetProtection sheet="1" objects="1" scenarios="1"/>
  <mergeCells count="7">
    <mergeCell ref="R49:T49"/>
    <mergeCell ref="B19:G19"/>
    <mergeCell ref="J36:U36"/>
    <mergeCell ref="J37:L39"/>
    <mergeCell ref="M37:T37"/>
    <mergeCell ref="U37:U39"/>
    <mergeCell ref="J40:J47"/>
  </mergeCells>
  <conditionalFormatting sqref="D32">
    <cfRule type="expression" dxfId="55" priority="16">
      <formula>$D$23&gt;1</formula>
    </cfRule>
  </conditionalFormatting>
  <conditionalFormatting sqref="D33 M42:O42">
    <cfRule type="expression" dxfId="54" priority="15">
      <formula>$D$23&gt;2</formula>
    </cfRule>
  </conditionalFormatting>
  <conditionalFormatting sqref="D34 M43:P43">
    <cfRule type="expression" dxfId="53" priority="14">
      <formula>$D$23&gt;3</formula>
    </cfRule>
  </conditionalFormatting>
  <conditionalFormatting sqref="D35 M44:Q44">
    <cfRule type="expression" dxfId="52" priority="13">
      <formula>$D$23&gt;4</formula>
    </cfRule>
  </conditionalFormatting>
  <conditionalFormatting sqref="D36 M45:R45">
    <cfRule type="expression" dxfId="51" priority="12">
      <formula>$D$23&gt;5</formula>
    </cfRule>
  </conditionalFormatting>
  <conditionalFormatting sqref="D37 M46:S46">
    <cfRule type="expression" dxfId="50" priority="11">
      <formula>$D$23&gt;6</formula>
    </cfRule>
  </conditionalFormatting>
  <conditionalFormatting sqref="D38 M47:T48">
    <cfRule type="expression" dxfId="49" priority="10">
      <formula>$D$23&gt;7</formula>
    </cfRule>
  </conditionalFormatting>
  <conditionalFormatting sqref="M40">
    <cfRule type="expression" dxfId="48" priority="9">
      <formula>$D$23&gt;0</formula>
    </cfRule>
  </conditionalFormatting>
  <conditionalFormatting sqref="N40 M41:N41">
    <cfRule type="expression" dxfId="47" priority="8">
      <formula>$D$23&gt;1</formula>
    </cfRule>
  </conditionalFormatting>
  <conditionalFormatting sqref="O40:O41">
    <cfRule type="expression" dxfId="46" priority="7">
      <formula>$D$23&gt;2</formula>
    </cfRule>
  </conditionalFormatting>
  <conditionalFormatting sqref="P40:P42">
    <cfRule type="expression" dxfId="45" priority="6">
      <formula>$D$23&gt;3</formula>
    </cfRule>
  </conditionalFormatting>
  <conditionalFormatting sqref="Q40:Q43">
    <cfRule type="expression" dxfId="44" priority="5">
      <formula>$D$23&gt;4</formula>
    </cfRule>
  </conditionalFormatting>
  <conditionalFormatting sqref="R40:R44">
    <cfRule type="expression" dxfId="43" priority="4">
      <formula>$D$23&gt;5</formula>
    </cfRule>
  </conditionalFormatting>
  <conditionalFormatting sqref="S40:S45">
    <cfRule type="expression" dxfId="42" priority="3">
      <formula>$D$23&gt;6</formula>
    </cfRule>
  </conditionalFormatting>
  <conditionalFormatting sqref="T40:T46">
    <cfRule type="expression" dxfId="41" priority="2">
      <formula>$D$23&gt;7</formula>
    </cfRule>
  </conditionalFormatting>
  <conditionalFormatting sqref="D48">
    <cfRule type="cellIs" dxfId="40" priority="1" operator="lessThan">
      <formula>0</formula>
    </cfRule>
  </conditionalFormatting>
  <dataValidations count="16">
    <dataValidation showInputMessage="1" showErrorMessage="1" sqref="E45:E46 JA45:JA46 SW45:SW46 ACS45:ACS46 AMO45:AMO46 AWK45:AWK46 BGG45:BGG46 BQC45:BQC46 BZY45:BZY46 CJU45:CJU46 CTQ45:CTQ46 DDM45:DDM46 DNI45:DNI46 DXE45:DXE46 EHA45:EHA46 EQW45:EQW46 FAS45:FAS46 FKO45:FKO46 FUK45:FUK46 GEG45:GEG46 GOC45:GOC46 GXY45:GXY46 HHU45:HHU46 HRQ45:HRQ46 IBM45:IBM46 ILI45:ILI46 IVE45:IVE46 JFA45:JFA46 JOW45:JOW46 JYS45:JYS46 KIO45:KIO46 KSK45:KSK46 LCG45:LCG46 LMC45:LMC46 LVY45:LVY46 MFU45:MFU46 MPQ45:MPQ46 MZM45:MZM46 NJI45:NJI46 NTE45:NTE46 ODA45:ODA46 OMW45:OMW46 OWS45:OWS46 PGO45:PGO46 PQK45:PQK46 QAG45:QAG46 QKC45:QKC46 QTY45:QTY46 RDU45:RDU46 RNQ45:RNQ46 RXM45:RXM46 SHI45:SHI46 SRE45:SRE46 TBA45:TBA46 TKW45:TKW46 TUS45:TUS46 UEO45:UEO46 UOK45:UOK46 UYG45:UYG46 VIC45:VIC46 VRY45:VRY46 WBU45:WBU46 WLQ45:WLQ46 WVM45:WVM46 E65592:E65593 JA65592:JA65593 SW65592:SW65593 ACS65592:ACS65593 AMO65592:AMO65593 AWK65592:AWK65593 BGG65592:BGG65593 BQC65592:BQC65593 BZY65592:BZY65593 CJU65592:CJU65593 CTQ65592:CTQ65593 DDM65592:DDM65593 DNI65592:DNI65593 DXE65592:DXE65593 EHA65592:EHA65593 EQW65592:EQW65593 FAS65592:FAS65593 FKO65592:FKO65593 FUK65592:FUK65593 GEG65592:GEG65593 GOC65592:GOC65593 GXY65592:GXY65593 HHU65592:HHU65593 HRQ65592:HRQ65593 IBM65592:IBM65593 ILI65592:ILI65593 IVE65592:IVE65593 JFA65592:JFA65593 JOW65592:JOW65593 JYS65592:JYS65593 KIO65592:KIO65593 KSK65592:KSK65593 LCG65592:LCG65593 LMC65592:LMC65593 LVY65592:LVY65593 MFU65592:MFU65593 MPQ65592:MPQ65593 MZM65592:MZM65593 NJI65592:NJI65593 NTE65592:NTE65593 ODA65592:ODA65593 OMW65592:OMW65593 OWS65592:OWS65593 PGO65592:PGO65593 PQK65592:PQK65593 QAG65592:QAG65593 QKC65592:QKC65593 QTY65592:QTY65593 RDU65592:RDU65593 RNQ65592:RNQ65593 RXM65592:RXM65593 SHI65592:SHI65593 SRE65592:SRE65593 TBA65592:TBA65593 TKW65592:TKW65593 TUS65592:TUS65593 UEO65592:UEO65593 UOK65592:UOK65593 UYG65592:UYG65593 VIC65592:VIC65593 VRY65592:VRY65593 WBU65592:WBU65593 WLQ65592:WLQ65593 WVM65592:WVM65593 E131128:E131129 JA131128:JA131129 SW131128:SW131129 ACS131128:ACS131129 AMO131128:AMO131129 AWK131128:AWK131129 BGG131128:BGG131129 BQC131128:BQC131129 BZY131128:BZY131129 CJU131128:CJU131129 CTQ131128:CTQ131129 DDM131128:DDM131129 DNI131128:DNI131129 DXE131128:DXE131129 EHA131128:EHA131129 EQW131128:EQW131129 FAS131128:FAS131129 FKO131128:FKO131129 FUK131128:FUK131129 GEG131128:GEG131129 GOC131128:GOC131129 GXY131128:GXY131129 HHU131128:HHU131129 HRQ131128:HRQ131129 IBM131128:IBM131129 ILI131128:ILI131129 IVE131128:IVE131129 JFA131128:JFA131129 JOW131128:JOW131129 JYS131128:JYS131129 KIO131128:KIO131129 KSK131128:KSK131129 LCG131128:LCG131129 LMC131128:LMC131129 LVY131128:LVY131129 MFU131128:MFU131129 MPQ131128:MPQ131129 MZM131128:MZM131129 NJI131128:NJI131129 NTE131128:NTE131129 ODA131128:ODA131129 OMW131128:OMW131129 OWS131128:OWS131129 PGO131128:PGO131129 PQK131128:PQK131129 QAG131128:QAG131129 QKC131128:QKC131129 QTY131128:QTY131129 RDU131128:RDU131129 RNQ131128:RNQ131129 RXM131128:RXM131129 SHI131128:SHI131129 SRE131128:SRE131129 TBA131128:TBA131129 TKW131128:TKW131129 TUS131128:TUS131129 UEO131128:UEO131129 UOK131128:UOK131129 UYG131128:UYG131129 VIC131128:VIC131129 VRY131128:VRY131129 WBU131128:WBU131129 WLQ131128:WLQ131129 WVM131128:WVM131129 E196664:E196665 JA196664:JA196665 SW196664:SW196665 ACS196664:ACS196665 AMO196664:AMO196665 AWK196664:AWK196665 BGG196664:BGG196665 BQC196664:BQC196665 BZY196664:BZY196665 CJU196664:CJU196665 CTQ196664:CTQ196665 DDM196664:DDM196665 DNI196664:DNI196665 DXE196664:DXE196665 EHA196664:EHA196665 EQW196664:EQW196665 FAS196664:FAS196665 FKO196664:FKO196665 FUK196664:FUK196665 GEG196664:GEG196665 GOC196664:GOC196665 GXY196664:GXY196665 HHU196664:HHU196665 HRQ196664:HRQ196665 IBM196664:IBM196665 ILI196664:ILI196665 IVE196664:IVE196665 JFA196664:JFA196665 JOW196664:JOW196665 JYS196664:JYS196665 KIO196664:KIO196665 KSK196664:KSK196665 LCG196664:LCG196665 LMC196664:LMC196665 LVY196664:LVY196665 MFU196664:MFU196665 MPQ196664:MPQ196665 MZM196664:MZM196665 NJI196664:NJI196665 NTE196664:NTE196665 ODA196664:ODA196665 OMW196664:OMW196665 OWS196664:OWS196665 PGO196664:PGO196665 PQK196664:PQK196665 QAG196664:QAG196665 QKC196664:QKC196665 QTY196664:QTY196665 RDU196664:RDU196665 RNQ196664:RNQ196665 RXM196664:RXM196665 SHI196664:SHI196665 SRE196664:SRE196665 TBA196664:TBA196665 TKW196664:TKW196665 TUS196664:TUS196665 UEO196664:UEO196665 UOK196664:UOK196665 UYG196664:UYG196665 VIC196664:VIC196665 VRY196664:VRY196665 WBU196664:WBU196665 WLQ196664:WLQ196665 WVM196664:WVM196665 E262200:E262201 JA262200:JA262201 SW262200:SW262201 ACS262200:ACS262201 AMO262200:AMO262201 AWK262200:AWK262201 BGG262200:BGG262201 BQC262200:BQC262201 BZY262200:BZY262201 CJU262200:CJU262201 CTQ262200:CTQ262201 DDM262200:DDM262201 DNI262200:DNI262201 DXE262200:DXE262201 EHA262200:EHA262201 EQW262200:EQW262201 FAS262200:FAS262201 FKO262200:FKO262201 FUK262200:FUK262201 GEG262200:GEG262201 GOC262200:GOC262201 GXY262200:GXY262201 HHU262200:HHU262201 HRQ262200:HRQ262201 IBM262200:IBM262201 ILI262200:ILI262201 IVE262200:IVE262201 JFA262200:JFA262201 JOW262200:JOW262201 JYS262200:JYS262201 KIO262200:KIO262201 KSK262200:KSK262201 LCG262200:LCG262201 LMC262200:LMC262201 LVY262200:LVY262201 MFU262200:MFU262201 MPQ262200:MPQ262201 MZM262200:MZM262201 NJI262200:NJI262201 NTE262200:NTE262201 ODA262200:ODA262201 OMW262200:OMW262201 OWS262200:OWS262201 PGO262200:PGO262201 PQK262200:PQK262201 QAG262200:QAG262201 QKC262200:QKC262201 QTY262200:QTY262201 RDU262200:RDU262201 RNQ262200:RNQ262201 RXM262200:RXM262201 SHI262200:SHI262201 SRE262200:SRE262201 TBA262200:TBA262201 TKW262200:TKW262201 TUS262200:TUS262201 UEO262200:UEO262201 UOK262200:UOK262201 UYG262200:UYG262201 VIC262200:VIC262201 VRY262200:VRY262201 WBU262200:WBU262201 WLQ262200:WLQ262201 WVM262200:WVM262201 E327736:E327737 JA327736:JA327737 SW327736:SW327737 ACS327736:ACS327737 AMO327736:AMO327737 AWK327736:AWK327737 BGG327736:BGG327737 BQC327736:BQC327737 BZY327736:BZY327737 CJU327736:CJU327737 CTQ327736:CTQ327737 DDM327736:DDM327737 DNI327736:DNI327737 DXE327736:DXE327737 EHA327736:EHA327737 EQW327736:EQW327737 FAS327736:FAS327737 FKO327736:FKO327737 FUK327736:FUK327737 GEG327736:GEG327737 GOC327736:GOC327737 GXY327736:GXY327737 HHU327736:HHU327737 HRQ327736:HRQ327737 IBM327736:IBM327737 ILI327736:ILI327737 IVE327736:IVE327737 JFA327736:JFA327737 JOW327736:JOW327737 JYS327736:JYS327737 KIO327736:KIO327737 KSK327736:KSK327737 LCG327736:LCG327737 LMC327736:LMC327737 LVY327736:LVY327737 MFU327736:MFU327737 MPQ327736:MPQ327737 MZM327736:MZM327737 NJI327736:NJI327737 NTE327736:NTE327737 ODA327736:ODA327737 OMW327736:OMW327737 OWS327736:OWS327737 PGO327736:PGO327737 PQK327736:PQK327737 QAG327736:QAG327737 QKC327736:QKC327737 QTY327736:QTY327737 RDU327736:RDU327737 RNQ327736:RNQ327737 RXM327736:RXM327737 SHI327736:SHI327737 SRE327736:SRE327737 TBA327736:TBA327737 TKW327736:TKW327737 TUS327736:TUS327737 UEO327736:UEO327737 UOK327736:UOK327737 UYG327736:UYG327737 VIC327736:VIC327737 VRY327736:VRY327737 WBU327736:WBU327737 WLQ327736:WLQ327737 WVM327736:WVM327737 E393272:E393273 JA393272:JA393273 SW393272:SW393273 ACS393272:ACS393273 AMO393272:AMO393273 AWK393272:AWK393273 BGG393272:BGG393273 BQC393272:BQC393273 BZY393272:BZY393273 CJU393272:CJU393273 CTQ393272:CTQ393273 DDM393272:DDM393273 DNI393272:DNI393273 DXE393272:DXE393273 EHA393272:EHA393273 EQW393272:EQW393273 FAS393272:FAS393273 FKO393272:FKO393273 FUK393272:FUK393273 GEG393272:GEG393273 GOC393272:GOC393273 GXY393272:GXY393273 HHU393272:HHU393273 HRQ393272:HRQ393273 IBM393272:IBM393273 ILI393272:ILI393273 IVE393272:IVE393273 JFA393272:JFA393273 JOW393272:JOW393273 JYS393272:JYS393273 KIO393272:KIO393273 KSK393272:KSK393273 LCG393272:LCG393273 LMC393272:LMC393273 LVY393272:LVY393273 MFU393272:MFU393273 MPQ393272:MPQ393273 MZM393272:MZM393273 NJI393272:NJI393273 NTE393272:NTE393273 ODA393272:ODA393273 OMW393272:OMW393273 OWS393272:OWS393273 PGO393272:PGO393273 PQK393272:PQK393273 QAG393272:QAG393273 QKC393272:QKC393273 QTY393272:QTY393273 RDU393272:RDU393273 RNQ393272:RNQ393273 RXM393272:RXM393273 SHI393272:SHI393273 SRE393272:SRE393273 TBA393272:TBA393273 TKW393272:TKW393273 TUS393272:TUS393273 UEO393272:UEO393273 UOK393272:UOK393273 UYG393272:UYG393273 VIC393272:VIC393273 VRY393272:VRY393273 WBU393272:WBU393273 WLQ393272:WLQ393273 WVM393272:WVM393273 E458808:E458809 JA458808:JA458809 SW458808:SW458809 ACS458808:ACS458809 AMO458808:AMO458809 AWK458808:AWK458809 BGG458808:BGG458809 BQC458808:BQC458809 BZY458808:BZY458809 CJU458808:CJU458809 CTQ458808:CTQ458809 DDM458808:DDM458809 DNI458808:DNI458809 DXE458808:DXE458809 EHA458808:EHA458809 EQW458808:EQW458809 FAS458808:FAS458809 FKO458808:FKO458809 FUK458808:FUK458809 GEG458808:GEG458809 GOC458808:GOC458809 GXY458808:GXY458809 HHU458808:HHU458809 HRQ458808:HRQ458809 IBM458808:IBM458809 ILI458808:ILI458809 IVE458808:IVE458809 JFA458808:JFA458809 JOW458808:JOW458809 JYS458808:JYS458809 KIO458808:KIO458809 KSK458808:KSK458809 LCG458808:LCG458809 LMC458808:LMC458809 LVY458808:LVY458809 MFU458808:MFU458809 MPQ458808:MPQ458809 MZM458808:MZM458809 NJI458808:NJI458809 NTE458808:NTE458809 ODA458808:ODA458809 OMW458808:OMW458809 OWS458808:OWS458809 PGO458808:PGO458809 PQK458808:PQK458809 QAG458808:QAG458809 QKC458808:QKC458809 QTY458808:QTY458809 RDU458808:RDU458809 RNQ458808:RNQ458809 RXM458808:RXM458809 SHI458808:SHI458809 SRE458808:SRE458809 TBA458808:TBA458809 TKW458808:TKW458809 TUS458808:TUS458809 UEO458808:UEO458809 UOK458808:UOK458809 UYG458808:UYG458809 VIC458808:VIC458809 VRY458808:VRY458809 WBU458808:WBU458809 WLQ458808:WLQ458809 WVM458808:WVM458809 E524344:E524345 JA524344:JA524345 SW524344:SW524345 ACS524344:ACS524345 AMO524344:AMO524345 AWK524344:AWK524345 BGG524344:BGG524345 BQC524344:BQC524345 BZY524344:BZY524345 CJU524344:CJU524345 CTQ524344:CTQ524345 DDM524344:DDM524345 DNI524344:DNI524345 DXE524344:DXE524345 EHA524344:EHA524345 EQW524344:EQW524345 FAS524344:FAS524345 FKO524344:FKO524345 FUK524344:FUK524345 GEG524344:GEG524345 GOC524344:GOC524345 GXY524344:GXY524345 HHU524344:HHU524345 HRQ524344:HRQ524345 IBM524344:IBM524345 ILI524344:ILI524345 IVE524344:IVE524345 JFA524344:JFA524345 JOW524344:JOW524345 JYS524344:JYS524345 KIO524344:KIO524345 KSK524344:KSK524345 LCG524344:LCG524345 LMC524344:LMC524345 LVY524344:LVY524345 MFU524344:MFU524345 MPQ524344:MPQ524345 MZM524344:MZM524345 NJI524344:NJI524345 NTE524344:NTE524345 ODA524344:ODA524345 OMW524344:OMW524345 OWS524344:OWS524345 PGO524344:PGO524345 PQK524344:PQK524345 QAG524344:QAG524345 QKC524344:QKC524345 QTY524344:QTY524345 RDU524344:RDU524345 RNQ524344:RNQ524345 RXM524344:RXM524345 SHI524344:SHI524345 SRE524344:SRE524345 TBA524344:TBA524345 TKW524344:TKW524345 TUS524344:TUS524345 UEO524344:UEO524345 UOK524344:UOK524345 UYG524344:UYG524345 VIC524344:VIC524345 VRY524344:VRY524345 WBU524344:WBU524345 WLQ524344:WLQ524345 WVM524344:WVM524345 E589880:E589881 JA589880:JA589881 SW589880:SW589881 ACS589880:ACS589881 AMO589880:AMO589881 AWK589880:AWK589881 BGG589880:BGG589881 BQC589880:BQC589881 BZY589880:BZY589881 CJU589880:CJU589881 CTQ589880:CTQ589881 DDM589880:DDM589881 DNI589880:DNI589881 DXE589880:DXE589881 EHA589880:EHA589881 EQW589880:EQW589881 FAS589880:FAS589881 FKO589880:FKO589881 FUK589880:FUK589881 GEG589880:GEG589881 GOC589880:GOC589881 GXY589880:GXY589881 HHU589880:HHU589881 HRQ589880:HRQ589881 IBM589880:IBM589881 ILI589880:ILI589881 IVE589880:IVE589881 JFA589880:JFA589881 JOW589880:JOW589881 JYS589880:JYS589881 KIO589880:KIO589881 KSK589880:KSK589881 LCG589880:LCG589881 LMC589880:LMC589881 LVY589880:LVY589881 MFU589880:MFU589881 MPQ589880:MPQ589881 MZM589880:MZM589881 NJI589880:NJI589881 NTE589880:NTE589881 ODA589880:ODA589881 OMW589880:OMW589881 OWS589880:OWS589881 PGO589880:PGO589881 PQK589880:PQK589881 QAG589880:QAG589881 QKC589880:QKC589881 QTY589880:QTY589881 RDU589880:RDU589881 RNQ589880:RNQ589881 RXM589880:RXM589881 SHI589880:SHI589881 SRE589880:SRE589881 TBA589880:TBA589881 TKW589880:TKW589881 TUS589880:TUS589881 UEO589880:UEO589881 UOK589880:UOK589881 UYG589880:UYG589881 VIC589880:VIC589881 VRY589880:VRY589881 WBU589880:WBU589881 WLQ589880:WLQ589881 WVM589880:WVM589881 E655416:E655417 JA655416:JA655417 SW655416:SW655417 ACS655416:ACS655417 AMO655416:AMO655417 AWK655416:AWK655417 BGG655416:BGG655417 BQC655416:BQC655417 BZY655416:BZY655417 CJU655416:CJU655417 CTQ655416:CTQ655417 DDM655416:DDM655417 DNI655416:DNI655417 DXE655416:DXE655417 EHA655416:EHA655417 EQW655416:EQW655417 FAS655416:FAS655417 FKO655416:FKO655417 FUK655416:FUK655417 GEG655416:GEG655417 GOC655416:GOC655417 GXY655416:GXY655417 HHU655416:HHU655417 HRQ655416:HRQ655417 IBM655416:IBM655417 ILI655416:ILI655417 IVE655416:IVE655417 JFA655416:JFA655417 JOW655416:JOW655417 JYS655416:JYS655417 KIO655416:KIO655417 KSK655416:KSK655417 LCG655416:LCG655417 LMC655416:LMC655417 LVY655416:LVY655417 MFU655416:MFU655417 MPQ655416:MPQ655417 MZM655416:MZM655417 NJI655416:NJI655417 NTE655416:NTE655417 ODA655416:ODA655417 OMW655416:OMW655417 OWS655416:OWS655417 PGO655416:PGO655417 PQK655416:PQK655417 QAG655416:QAG655417 QKC655416:QKC655417 QTY655416:QTY655417 RDU655416:RDU655417 RNQ655416:RNQ655417 RXM655416:RXM655417 SHI655416:SHI655417 SRE655416:SRE655417 TBA655416:TBA655417 TKW655416:TKW655417 TUS655416:TUS655417 UEO655416:UEO655417 UOK655416:UOK655417 UYG655416:UYG655417 VIC655416:VIC655417 VRY655416:VRY655417 WBU655416:WBU655417 WLQ655416:WLQ655417 WVM655416:WVM655417 E720952:E720953 JA720952:JA720953 SW720952:SW720953 ACS720952:ACS720953 AMO720952:AMO720953 AWK720952:AWK720953 BGG720952:BGG720953 BQC720952:BQC720953 BZY720952:BZY720953 CJU720952:CJU720953 CTQ720952:CTQ720953 DDM720952:DDM720953 DNI720952:DNI720953 DXE720952:DXE720953 EHA720952:EHA720953 EQW720952:EQW720953 FAS720952:FAS720953 FKO720952:FKO720953 FUK720952:FUK720953 GEG720952:GEG720953 GOC720952:GOC720953 GXY720952:GXY720953 HHU720952:HHU720953 HRQ720952:HRQ720953 IBM720952:IBM720953 ILI720952:ILI720953 IVE720952:IVE720953 JFA720952:JFA720953 JOW720952:JOW720953 JYS720952:JYS720953 KIO720952:KIO720953 KSK720952:KSK720953 LCG720952:LCG720953 LMC720952:LMC720953 LVY720952:LVY720953 MFU720952:MFU720953 MPQ720952:MPQ720953 MZM720952:MZM720953 NJI720952:NJI720953 NTE720952:NTE720953 ODA720952:ODA720953 OMW720952:OMW720953 OWS720952:OWS720953 PGO720952:PGO720953 PQK720952:PQK720953 QAG720952:QAG720953 QKC720952:QKC720953 QTY720952:QTY720953 RDU720952:RDU720953 RNQ720952:RNQ720953 RXM720952:RXM720953 SHI720952:SHI720953 SRE720952:SRE720953 TBA720952:TBA720953 TKW720952:TKW720953 TUS720952:TUS720953 UEO720952:UEO720953 UOK720952:UOK720953 UYG720952:UYG720953 VIC720952:VIC720953 VRY720952:VRY720953 WBU720952:WBU720953 WLQ720952:WLQ720953 WVM720952:WVM720953 E786488:E786489 JA786488:JA786489 SW786488:SW786489 ACS786488:ACS786489 AMO786488:AMO786489 AWK786488:AWK786489 BGG786488:BGG786489 BQC786488:BQC786489 BZY786488:BZY786489 CJU786488:CJU786489 CTQ786488:CTQ786489 DDM786488:DDM786489 DNI786488:DNI786489 DXE786488:DXE786489 EHA786488:EHA786489 EQW786488:EQW786489 FAS786488:FAS786489 FKO786488:FKO786489 FUK786488:FUK786489 GEG786488:GEG786489 GOC786488:GOC786489 GXY786488:GXY786489 HHU786488:HHU786489 HRQ786488:HRQ786489 IBM786488:IBM786489 ILI786488:ILI786489 IVE786488:IVE786489 JFA786488:JFA786489 JOW786488:JOW786489 JYS786488:JYS786489 KIO786488:KIO786489 KSK786488:KSK786489 LCG786488:LCG786489 LMC786488:LMC786489 LVY786488:LVY786489 MFU786488:MFU786489 MPQ786488:MPQ786489 MZM786488:MZM786489 NJI786488:NJI786489 NTE786488:NTE786489 ODA786488:ODA786489 OMW786488:OMW786489 OWS786488:OWS786489 PGO786488:PGO786489 PQK786488:PQK786489 QAG786488:QAG786489 QKC786488:QKC786489 QTY786488:QTY786489 RDU786488:RDU786489 RNQ786488:RNQ786489 RXM786488:RXM786489 SHI786488:SHI786489 SRE786488:SRE786489 TBA786488:TBA786489 TKW786488:TKW786489 TUS786488:TUS786489 UEO786488:UEO786489 UOK786488:UOK786489 UYG786488:UYG786489 VIC786488:VIC786489 VRY786488:VRY786489 WBU786488:WBU786489 WLQ786488:WLQ786489 WVM786488:WVM786489 E852024:E852025 JA852024:JA852025 SW852024:SW852025 ACS852024:ACS852025 AMO852024:AMO852025 AWK852024:AWK852025 BGG852024:BGG852025 BQC852024:BQC852025 BZY852024:BZY852025 CJU852024:CJU852025 CTQ852024:CTQ852025 DDM852024:DDM852025 DNI852024:DNI852025 DXE852024:DXE852025 EHA852024:EHA852025 EQW852024:EQW852025 FAS852024:FAS852025 FKO852024:FKO852025 FUK852024:FUK852025 GEG852024:GEG852025 GOC852024:GOC852025 GXY852024:GXY852025 HHU852024:HHU852025 HRQ852024:HRQ852025 IBM852024:IBM852025 ILI852024:ILI852025 IVE852024:IVE852025 JFA852024:JFA852025 JOW852024:JOW852025 JYS852024:JYS852025 KIO852024:KIO852025 KSK852024:KSK852025 LCG852024:LCG852025 LMC852024:LMC852025 LVY852024:LVY852025 MFU852024:MFU852025 MPQ852024:MPQ852025 MZM852024:MZM852025 NJI852024:NJI852025 NTE852024:NTE852025 ODA852024:ODA852025 OMW852024:OMW852025 OWS852024:OWS852025 PGO852024:PGO852025 PQK852024:PQK852025 QAG852024:QAG852025 QKC852024:QKC852025 QTY852024:QTY852025 RDU852024:RDU852025 RNQ852024:RNQ852025 RXM852024:RXM852025 SHI852024:SHI852025 SRE852024:SRE852025 TBA852024:TBA852025 TKW852024:TKW852025 TUS852024:TUS852025 UEO852024:UEO852025 UOK852024:UOK852025 UYG852024:UYG852025 VIC852024:VIC852025 VRY852024:VRY852025 WBU852024:WBU852025 WLQ852024:WLQ852025 WVM852024:WVM852025 E917560:E917561 JA917560:JA917561 SW917560:SW917561 ACS917560:ACS917561 AMO917560:AMO917561 AWK917560:AWK917561 BGG917560:BGG917561 BQC917560:BQC917561 BZY917560:BZY917561 CJU917560:CJU917561 CTQ917560:CTQ917561 DDM917560:DDM917561 DNI917560:DNI917561 DXE917560:DXE917561 EHA917560:EHA917561 EQW917560:EQW917561 FAS917560:FAS917561 FKO917560:FKO917561 FUK917560:FUK917561 GEG917560:GEG917561 GOC917560:GOC917561 GXY917560:GXY917561 HHU917560:HHU917561 HRQ917560:HRQ917561 IBM917560:IBM917561 ILI917560:ILI917561 IVE917560:IVE917561 JFA917560:JFA917561 JOW917560:JOW917561 JYS917560:JYS917561 KIO917560:KIO917561 KSK917560:KSK917561 LCG917560:LCG917561 LMC917560:LMC917561 LVY917560:LVY917561 MFU917560:MFU917561 MPQ917560:MPQ917561 MZM917560:MZM917561 NJI917560:NJI917561 NTE917560:NTE917561 ODA917560:ODA917561 OMW917560:OMW917561 OWS917560:OWS917561 PGO917560:PGO917561 PQK917560:PQK917561 QAG917560:QAG917561 QKC917560:QKC917561 QTY917560:QTY917561 RDU917560:RDU917561 RNQ917560:RNQ917561 RXM917560:RXM917561 SHI917560:SHI917561 SRE917560:SRE917561 TBA917560:TBA917561 TKW917560:TKW917561 TUS917560:TUS917561 UEO917560:UEO917561 UOK917560:UOK917561 UYG917560:UYG917561 VIC917560:VIC917561 VRY917560:VRY917561 WBU917560:WBU917561 WLQ917560:WLQ917561 WVM917560:WVM917561 E983096:E983097 JA983096:JA983097 SW983096:SW983097 ACS983096:ACS983097 AMO983096:AMO983097 AWK983096:AWK983097 BGG983096:BGG983097 BQC983096:BQC983097 BZY983096:BZY983097 CJU983096:CJU983097 CTQ983096:CTQ983097 DDM983096:DDM983097 DNI983096:DNI983097 DXE983096:DXE983097 EHA983096:EHA983097 EQW983096:EQW983097 FAS983096:FAS983097 FKO983096:FKO983097 FUK983096:FUK983097 GEG983096:GEG983097 GOC983096:GOC983097 GXY983096:GXY983097 HHU983096:HHU983097 HRQ983096:HRQ983097 IBM983096:IBM983097 ILI983096:ILI983097 IVE983096:IVE983097 JFA983096:JFA983097 JOW983096:JOW983097 JYS983096:JYS983097 KIO983096:KIO983097 KSK983096:KSK983097 LCG983096:LCG983097 LMC983096:LMC983097 LVY983096:LVY983097 MFU983096:MFU983097 MPQ983096:MPQ983097 MZM983096:MZM983097 NJI983096:NJI983097 NTE983096:NTE983097 ODA983096:ODA983097 OMW983096:OMW983097 OWS983096:OWS983097 PGO983096:PGO983097 PQK983096:PQK983097 QAG983096:QAG983097 QKC983096:QKC983097 QTY983096:QTY983097 RDU983096:RDU983097 RNQ983096:RNQ983097 RXM983096:RXM983097 SHI983096:SHI983097 SRE983096:SRE983097 TBA983096:TBA983097 TKW983096:TKW983097 TUS983096:TUS983097 UEO983096:UEO983097 UOK983096:UOK983097 UYG983096:UYG983097 VIC983096:VIC983097 VRY983096:VRY983097 WBU983096:WBU983097 WLQ983096:WLQ983097 WVM983096:WVM983097 E28:E29"/>
    <dataValidation type="list" allowBlank="1" showInputMessage="1" showErrorMessage="1" errorTitle="Too Many layers" error="This tool can only calculate up to 8 Layers." 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ormula1>"1,2,3,4,5,6,7,8"</formula1>
    </dataValidation>
    <dataValidation type="list"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formula1>"mm,mil,oz-Cu"</formula1>
    </dataValidation>
    <dataValidation type="list" showInputMessage="1" showErrorMessage="1" sqref="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WVM983076 JA30:JA38 SW30:SW38 ACS30:ACS38 AMO30:AMO38 AWK30:AWK38 BGG30:BGG38 BQC30:BQC38 BZY30:BZY38 CJU30:CJU38 CTQ30:CTQ38 DDM30:DDM38 DNI30:DNI38 DXE30:DXE38 EHA30:EHA38 EQW30:EQW38 FAS30:FAS38 FKO30:FKO38 FUK30:FUK38 GEG30:GEG38 GOC30:GOC38 GXY30:GXY38 HHU30:HHU38 HRQ30:HRQ38 IBM30:IBM38 ILI30:ILI38 IVE30:IVE38 JFA30:JFA38 JOW30:JOW38 JYS30:JYS38 KIO30:KIO38 KSK30:KSK38 LCG30:LCG38 LMC30:LMC38 LVY30:LVY38 MFU30:MFU38 MPQ30:MPQ38 MZM30:MZM38 NJI30:NJI38 NTE30:NTE38 ODA30:ODA38 OMW30:OMW38 OWS30:OWS38 PGO30:PGO38 PQK30:PQK38 QAG30:QAG38 QKC30:QKC38 QTY30:QTY38 RDU30:RDU38 RNQ30:RNQ38 RXM30:RXM38 SHI30:SHI38 SRE30:SRE38 TBA30:TBA38 TKW30:TKW38 TUS30:TUS38 UEO30:UEO38 UOK30:UOK38 UYG30:UYG38 VIC30:VIC38 VRY30:VRY38 WBU30:WBU38 WLQ30:WLQ38 WVM30:WVM38 E65577:E65585 JA65577:JA65585 SW65577:SW65585 ACS65577:ACS65585 AMO65577:AMO65585 AWK65577:AWK65585 BGG65577:BGG65585 BQC65577:BQC65585 BZY65577:BZY65585 CJU65577:CJU65585 CTQ65577:CTQ65585 DDM65577:DDM65585 DNI65577:DNI65585 DXE65577:DXE65585 EHA65577:EHA65585 EQW65577:EQW65585 FAS65577:FAS65585 FKO65577:FKO65585 FUK65577:FUK65585 GEG65577:GEG65585 GOC65577:GOC65585 GXY65577:GXY65585 HHU65577:HHU65585 HRQ65577:HRQ65585 IBM65577:IBM65585 ILI65577:ILI65585 IVE65577:IVE65585 JFA65577:JFA65585 JOW65577:JOW65585 JYS65577:JYS65585 KIO65577:KIO65585 KSK65577:KSK65585 LCG65577:LCG65585 LMC65577:LMC65585 LVY65577:LVY65585 MFU65577:MFU65585 MPQ65577:MPQ65585 MZM65577:MZM65585 NJI65577:NJI65585 NTE65577:NTE65585 ODA65577:ODA65585 OMW65577:OMW65585 OWS65577:OWS65585 PGO65577:PGO65585 PQK65577:PQK65585 QAG65577:QAG65585 QKC65577:QKC65585 QTY65577:QTY65585 RDU65577:RDU65585 RNQ65577:RNQ65585 RXM65577:RXM65585 SHI65577:SHI65585 SRE65577:SRE65585 TBA65577:TBA65585 TKW65577:TKW65585 TUS65577:TUS65585 UEO65577:UEO65585 UOK65577:UOK65585 UYG65577:UYG65585 VIC65577:VIC65585 VRY65577:VRY65585 WBU65577:WBU65585 WLQ65577:WLQ65585 WVM65577:WVM65585 E131113:E131121 JA131113:JA131121 SW131113:SW131121 ACS131113:ACS131121 AMO131113:AMO131121 AWK131113:AWK131121 BGG131113:BGG131121 BQC131113:BQC131121 BZY131113:BZY131121 CJU131113:CJU131121 CTQ131113:CTQ131121 DDM131113:DDM131121 DNI131113:DNI131121 DXE131113:DXE131121 EHA131113:EHA131121 EQW131113:EQW131121 FAS131113:FAS131121 FKO131113:FKO131121 FUK131113:FUK131121 GEG131113:GEG131121 GOC131113:GOC131121 GXY131113:GXY131121 HHU131113:HHU131121 HRQ131113:HRQ131121 IBM131113:IBM131121 ILI131113:ILI131121 IVE131113:IVE131121 JFA131113:JFA131121 JOW131113:JOW131121 JYS131113:JYS131121 KIO131113:KIO131121 KSK131113:KSK131121 LCG131113:LCG131121 LMC131113:LMC131121 LVY131113:LVY131121 MFU131113:MFU131121 MPQ131113:MPQ131121 MZM131113:MZM131121 NJI131113:NJI131121 NTE131113:NTE131121 ODA131113:ODA131121 OMW131113:OMW131121 OWS131113:OWS131121 PGO131113:PGO131121 PQK131113:PQK131121 QAG131113:QAG131121 QKC131113:QKC131121 QTY131113:QTY131121 RDU131113:RDU131121 RNQ131113:RNQ131121 RXM131113:RXM131121 SHI131113:SHI131121 SRE131113:SRE131121 TBA131113:TBA131121 TKW131113:TKW131121 TUS131113:TUS131121 UEO131113:UEO131121 UOK131113:UOK131121 UYG131113:UYG131121 VIC131113:VIC131121 VRY131113:VRY131121 WBU131113:WBU131121 WLQ131113:WLQ131121 WVM131113:WVM131121 E196649:E196657 JA196649:JA196657 SW196649:SW196657 ACS196649:ACS196657 AMO196649:AMO196657 AWK196649:AWK196657 BGG196649:BGG196657 BQC196649:BQC196657 BZY196649:BZY196657 CJU196649:CJU196657 CTQ196649:CTQ196657 DDM196649:DDM196657 DNI196649:DNI196657 DXE196649:DXE196657 EHA196649:EHA196657 EQW196649:EQW196657 FAS196649:FAS196657 FKO196649:FKO196657 FUK196649:FUK196657 GEG196649:GEG196657 GOC196649:GOC196657 GXY196649:GXY196657 HHU196649:HHU196657 HRQ196649:HRQ196657 IBM196649:IBM196657 ILI196649:ILI196657 IVE196649:IVE196657 JFA196649:JFA196657 JOW196649:JOW196657 JYS196649:JYS196657 KIO196649:KIO196657 KSK196649:KSK196657 LCG196649:LCG196657 LMC196649:LMC196657 LVY196649:LVY196657 MFU196649:MFU196657 MPQ196649:MPQ196657 MZM196649:MZM196657 NJI196649:NJI196657 NTE196649:NTE196657 ODA196649:ODA196657 OMW196649:OMW196657 OWS196649:OWS196657 PGO196649:PGO196657 PQK196649:PQK196657 QAG196649:QAG196657 QKC196649:QKC196657 QTY196649:QTY196657 RDU196649:RDU196657 RNQ196649:RNQ196657 RXM196649:RXM196657 SHI196649:SHI196657 SRE196649:SRE196657 TBA196649:TBA196657 TKW196649:TKW196657 TUS196649:TUS196657 UEO196649:UEO196657 UOK196649:UOK196657 UYG196649:UYG196657 VIC196649:VIC196657 VRY196649:VRY196657 WBU196649:WBU196657 WLQ196649:WLQ196657 WVM196649:WVM196657 E262185:E262193 JA262185:JA262193 SW262185:SW262193 ACS262185:ACS262193 AMO262185:AMO262193 AWK262185:AWK262193 BGG262185:BGG262193 BQC262185:BQC262193 BZY262185:BZY262193 CJU262185:CJU262193 CTQ262185:CTQ262193 DDM262185:DDM262193 DNI262185:DNI262193 DXE262185:DXE262193 EHA262185:EHA262193 EQW262185:EQW262193 FAS262185:FAS262193 FKO262185:FKO262193 FUK262185:FUK262193 GEG262185:GEG262193 GOC262185:GOC262193 GXY262185:GXY262193 HHU262185:HHU262193 HRQ262185:HRQ262193 IBM262185:IBM262193 ILI262185:ILI262193 IVE262185:IVE262193 JFA262185:JFA262193 JOW262185:JOW262193 JYS262185:JYS262193 KIO262185:KIO262193 KSK262185:KSK262193 LCG262185:LCG262193 LMC262185:LMC262193 LVY262185:LVY262193 MFU262185:MFU262193 MPQ262185:MPQ262193 MZM262185:MZM262193 NJI262185:NJI262193 NTE262185:NTE262193 ODA262185:ODA262193 OMW262185:OMW262193 OWS262185:OWS262193 PGO262185:PGO262193 PQK262185:PQK262193 QAG262185:QAG262193 QKC262185:QKC262193 QTY262185:QTY262193 RDU262185:RDU262193 RNQ262185:RNQ262193 RXM262185:RXM262193 SHI262185:SHI262193 SRE262185:SRE262193 TBA262185:TBA262193 TKW262185:TKW262193 TUS262185:TUS262193 UEO262185:UEO262193 UOK262185:UOK262193 UYG262185:UYG262193 VIC262185:VIC262193 VRY262185:VRY262193 WBU262185:WBU262193 WLQ262185:WLQ262193 WVM262185:WVM262193 E327721:E327729 JA327721:JA327729 SW327721:SW327729 ACS327721:ACS327729 AMO327721:AMO327729 AWK327721:AWK327729 BGG327721:BGG327729 BQC327721:BQC327729 BZY327721:BZY327729 CJU327721:CJU327729 CTQ327721:CTQ327729 DDM327721:DDM327729 DNI327721:DNI327729 DXE327721:DXE327729 EHA327721:EHA327729 EQW327721:EQW327729 FAS327721:FAS327729 FKO327721:FKO327729 FUK327721:FUK327729 GEG327721:GEG327729 GOC327721:GOC327729 GXY327721:GXY327729 HHU327721:HHU327729 HRQ327721:HRQ327729 IBM327721:IBM327729 ILI327721:ILI327729 IVE327721:IVE327729 JFA327721:JFA327729 JOW327721:JOW327729 JYS327721:JYS327729 KIO327721:KIO327729 KSK327721:KSK327729 LCG327721:LCG327729 LMC327721:LMC327729 LVY327721:LVY327729 MFU327721:MFU327729 MPQ327721:MPQ327729 MZM327721:MZM327729 NJI327721:NJI327729 NTE327721:NTE327729 ODA327721:ODA327729 OMW327721:OMW327729 OWS327721:OWS327729 PGO327721:PGO327729 PQK327721:PQK327729 QAG327721:QAG327729 QKC327721:QKC327729 QTY327721:QTY327729 RDU327721:RDU327729 RNQ327721:RNQ327729 RXM327721:RXM327729 SHI327721:SHI327729 SRE327721:SRE327729 TBA327721:TBA327729 TKW327721:TKW327729 TUS327721:TUS327729 UEO327721:UEO327729 UOK327721:UOK327729 UYG327721:UYG327729 VIC327721:VIC327729 VRY327721:VRY327729 WBU327721:WBU327729 WLQ327721:WLQ327729 WVM327721:WVM327729 E393257:E393265 JA393257:JA393265 SW393257:SW393265 ACS393257:ACS393265 AMO393257:AMO393265 AWK393257:AWK393265 BGG393257:BGG393265 BQC393257:BQC393265 BZY393257:BZY393265 CJU393257:CJU393265 CTQ393257:CTQ393265 DDM393257:DDM393265 DNI393257:DNI393265 DXE393257:DXE393265 EHA393257:EHA393265 EQW393257:EQW393265 FAS393257:FAS393265 FKO393257:FKO393265 FUK393257:FUK393265 GEG393257:GEG393265 GOC393257:GOC393265 GXY393257:GXY393265 HHU393257:HHU393265 HRQ393257:HRQ393265 IBM393257:IBM393265 ILI393257:ILI393265 IVE393257:IVE393265 JFA393257:JFA393265 JOW393257:JOW393265 JYS393257:JYS393265 KIO393257:KIO393265 KSK393257:KSK393265 LCG393257:LCG393265 LMC393257:LMC393265 LVY393257:LVY393265 MFU393257:MFU393265 MPQ393257:MPQ393265 MZM393257:MZM393265 NJI393257:NJI393265 NTE393257:NTE393265 ODA393257:ODA393265 OMW393257:OMW393265 OWS393257:OWS393265 PGO393257:PGO393265 PQK393257:PQK393265 QAG393257:QAG393265 QKC393257:QKC393265 QTY393257:QTY393265 RDU393257:RDU393265 RNQ393257:RNQ393265 RXM393257:RXM393265 SHI393257:SHI393265 SRE393257:SRE393265 TBA393257:TBA393265 TKW393257:TKW393265 TUS393257:TUS393265 UEO393257:UEO393265 UOK393257:UOK393265 UYG393257:UYG393265 VIC393257:VIC393265 VRY393257:VRY393265 WBU393257:WBU393265 WLQ393257:WLQ393265 WVM393257:WVM393265 E458793:E458801 JA458793:JA458801 SW458793:SW458801 ACS458793:ACS458801 AMO458793:AMO458801 AWK458793:AWK458801 BGG458793:BGG458801 BQC458793:BQC458801 BZY458793:BZY458801 CJU458793:CJU458801 CTQ458793:CTQ458801 DDM458793:DDM458801 DNI458793:DNI458801 DXE458793:DXE458801 EHA458793:EHA458801 EQW458793:EQW458801 FAS458793:FAS458801 FKO458793:FKO458801 FUK458793:FUK458801 GEG458793:GEG458801 GOC458793:GOC458801 GXY458793:GXY458801 HHU458793:HHU458801 HRQ458793:HRQ458801 IBM458793:IBM458801 ILI458793:ILI458801 IVE458793:IVE458801 JFA458793:JFA458801 JOW458793:JOW458801 JYS458793:JYS458801 KIO458793:KIO458801 KSK458793:KSK458801 LCG458793:LCG458801 LMC458793:LMC458801 LVY458793:LVY458801 MFU458793:MFU458801 MPQ458793:MPQ458801 MZM458793:MZM458801 NJI458793:NJI458801 NTE458793:NTE458801 ODA458793:ODA458801 OMW458793:OMW458801 OWS458793:OWS458801 PGO458793:PGO458801 PQK458793:PQK458801 QAG458793:QAG458801 QKC458793:QKC458801 QTY458793:QTY458801 RDU458793:RDU458801 RNQ458793:RNQ458801 RXM458793:RXM458801 SHI458793:SHI458801 SRE458793:SRE458801 TBA458793:TBA458801 TKW458793:TKW458801 TUS458793:TUS458801 UEO458793:UEO458801 UOK458793:UOK458801 UYG458793:UYG458801 VIC458793:VIC458801 VRY458793:VRY458801 WBU458793:WBU458801 WLQ458793:WLQ458801 WVM458793:WVM458801 E524329:E524337 JA524329:JA524337 SW524329:SW524337 ACS524329:ACS524337 AMO524329:AMO524337 AWK524329:AWK524337 BGG524329:BGG524337 BQC524329:BQC524337 BZY524329:BZY524337 CJU524329:CJU524337 CTQ524329:CTQ524337 DDM524329:DDM524337 DNI524329:DNI524337 DXE524329:DXE524337 EHA524329:EHA524337 EQW524329:EQW524337 FAS524329:FAS524337 FKO524329:FKO524337 FUK524329:FUK524337 GEG524329:GEG524337 GOC524329:GOC524337 GXY524329:GXY524337 HHU524329:HHU524337 HRQ524329:HRQ524337 IBM524329:IBM524337 ILI524329:ILI524337 IVE524329:IVE524337 JFA524329:JFA524337 JOW524329:JOW524337 JYS524329:JYS524337 KIO524329:KIO524337 KSK524329:KSK524337 LCG524329:LCG524337 LMC524329:LMC524337 LVY524329:LVY524337 MFU524329:MFU524337 MPQ524329:MPQ524337 MZM524329:MZM524337 NJI524329:NJI524337 NTE524329:NTE524337 ODA524329:ODA524337 OMW524329:OMW524337 OWS524329:OWS524337 PGO524329:PGO524337 PQK524329:PQK524337 QAG524329:QAG524337 QKC524329:QKC524337 QTY524329:QTY524337 RDU524329:RDU524337 RNQ524329:RNQ524337 RXM524329:RXM524337 SHI524329:SHI524337 SRE524329:SRE524337 TBA524329:TBA524337 TKW524329:TKW524337 TUS524329:TUS524337 UEO524329:UEO524337 UOK524329:UOK524337 UYG524329:UYG524337 VIC524329:VIC524337 VRY524329:VRY524337 WBU524329:WBU524337 WLQ524329:WLQ524337 WVM524329:WVM524337 E589865:E589873 JA589865:JA589873 SW589865:SW589873 ACS589865:ACS589873 AMO589865:AMO589873 AWK589865:AWK589873 BGG589865:BGG589873 BQC589865:BQC589873 BZY589865:BZY589873 CJU589865:CJU589873 CTQ589865:CTQ589873 DDM589865:DDM589873 DNI589865:DNI589873 DXE589865:DXE589873 EHA589865:EHA589873 EQW589865:EQW589873 FAS589865:FAS589873 FKO589865:FKO589873 FUK589865:FUK589873 GEG589865:GEG589873 GOC589865:GOC589873 GXY589865:GXY589873 HHU589865:HHU589873 HRQ589865:HRQ589873 IBM589865:IBM589873 ILI589865:ILI589873 IVE589865:IVE589873 JFA589865:JFA589873 JOW589865:JOW589873 JYS589865:JYS589873 KIO589865:KIO589873 KSK589865:KSK589873 LCG589865:LCG589873 LMC589865:LMC589873 LVY589865:LVY589873 MFU589865:MFU589873 MPQ589865:MPQ589873 MZM589865:MZM589873 NJI589865:NJI589873 NTE589865:NTE589873 ODA589865:ODA589873 OMW589865:OMW589873 OWS589865:OWS589873 PGO589865:PGO589873 PQK589865:PQK589873 QAG589865:QAG589873 QKC589865:QKC589873 QTY589865:QTY589873 RDU589865:RDU589873 RNQ589865:RNQ589873 RXM589865:RXM589873 SHI589865:SHI589873 SRE589865:SRE589873 TBA589865:TBA589873 TKW589865:TKW589873 TUS589865:TUS589873 UEO589865:UEO589873 UOK589865:UOK589873 UYG589865:UYG589873 VIC589865:VIC589873 VRY589865:VRY589873 WBU589865:WBU589873 WLQ589865:WLQ589873 WVM589865:WVM589873 E655401:E655409 JA655401:JA655409 SW655401:SW655409 ACS655401:ACS655409 AMO655401:AMO655409 AWK655401:AWK655409 BGG655401:BGG655409 BQC655401:BQC655409 BZY655401:BZY655409 CJU655401:CJU655409 CTQ655401:CTQ655409 DDM655401:DDM655409 DNI655401:DNI655409 DXE655401:DXE655409 EHA655401:EHA655409 EQW655401:EQW655409 FAS655401:FAS655409 FKO655401:FKO655409 FUK655401:FUK655409 GEG655401:GEG655409 GOC655401:GOC655409 GXY655401:GXY655409 HHU655401:HHU655409 HRQ655401:HRQ655409 IBM655401:IBM655409 ILI655401:ILI655409 IVE655401:IVE655409 JFA655401:JFA655409 JOW655401:JOW655409 JYS655401:JYS655409 KIO655401:KIO655409 KSK655401:KSK655409 LCG655401:LCG655409 LMC655401:LMC655409 LVY655401:LVY655409 MFU655401:MFU655409 MPQ655401:MPQ655409 MZM655401:MZM655409 NJI655401:NJI655409 NTE655401:NTE655409 ODA655401:ODA655409 OMW655401:OMW655409 OWS655401:OWS655409 PGO655401:PGO655409 PQK655401:PQK655409 QAG655401:QAG655409 QKC655401:QKC655409 QTY655401:QTY655409 RDU655401:RDU655409 RNQ655401:RNQ655409 RXM655401:RXM655409 SHI655401:SHI655409 SRE655401:SRE655409 TBA655401:TBA655409 TKW655401:TKW655409 TUS655401:TUS655409 UEO655401:UEO655409 UOK655401:UOK655409 UYG655401:UYG655409 VIC655401:VIC655409 VRY655401:VRY655409 WBU655401:WBU655409 WLQ655401:WLQ655409 WVM655401:WVM655409 E720937:E720945 JA720937:JA720945 SW720937:SW720945 ACS720937:ACS720945 AMO720937:AMO720945 AWK720937:AWK720945 BGG720937:BGG720945 BQC720937:BQC720945 BZY720937:BZY720945 CJU720937:CJU720945 CTQ720937:CTQ720945 DDM720937:DDM720945 DNI720937:DNI720945 DXE720937:DXE720945 EHA720937:EHA720945 EQW720937:EQW720945 FAS720937:FAS720945 FKO720937:FKO720945 FUK720937:FUK720945 GEG720937:GEG720945 GOC720937:GOC720945 GXY720937:GXY720945 HHU720937:HHU720945 HRQ720937:HRQ720945 IBM720937:IBM720945 ILI720937:ILI720945 IVE720937:IVE720945 JFA720937:JFA720945 JOW720937:JOW720945 JYS720937:JYS720945 KIO720937:KIO720945 KSK720937:KSK720945 LCG720937:LCG720945 LMC720937:LMC720945 LVY720937:LVY720945 MFU720937:MFU720945 MPQ720937:MPQ720945 MZM720937:MZM720945 NJI720937:NJI720945 NTE720937:NTE720945 ODA720937:ODA720945 OMW720937:OMW720945 OWS720937:OWS720945 PGO720937:PGO720945 PQK720937:PQK720945 QAG720937:QAG720945 QKC720937:QKC720945 QTY720937:QTY720945 RDU720937:RDU720945 RNQ720937:RNQ720945 RXM720937:RXM720945 SHI720937:SHI720945 SRE720937:SRE720945 TBA720937:TBA720945 TKW720937:TKW720945 TUS720937:TUS720945 UEO720937:UEO720945 UOK720937:UOK720945 UYG720937:UYG720945 VIC720937:VIC720945 VRY720937:VRY720945 WBU720937:WBU720945 WLQ720937:WLQ720945 WVM720937:WVM720945 E786473:E786481 JA786473:JA786481 SW786473:SW786481 ACS786473:ACS786481 AMO786473:AMO786481 AWK786473:AWK786481 BGG786473:BGG786481 BQC786473:BQC786481 BZY786473:BZY786481 CJU786473:CJU786481 CTQ786473:CTQ786481 DDM786473:DDM786481 DNI786473:DNI786481 DXE786473:DXE786481 EHA786473:EHA786481 EQW786473:EQW786481 FAS786473:FAS786481 FKO786473:FKO786481 FUK786473:FUK786481 GEG786473:GEG786481 GOC786473:GOC786481 GXY786473:GXY786481 HHU786473:HHU786481 HRQ786473:HRQ786481 IBM786473:IBM786481 ILI786473:ILI786481 IVE786473:IVE786481 JFA786473:JFA786481 JOW786473:JOW786481 JYS786473:JYS786481 KIO786473:KIO786481 KSK786473:KSK786481 LCG786473:LCG786481 LMC786473:LMC786481 LVY786473:LVY786481 MFU786473:MFU786481 MPQ786473:MPQ786481 MZM786473:MZM786481 NJI786473:NJI786481 NTE786473:NTE786481 ODA786473:ODA786481 OMW786473:OMW786481 OWS786473:OWS786481 PGO786473:PGO786481 PQK786473:PQK786481 QAG786473:QAG786481 QKC786473:QKC786481 QTY786473:QTY786481 RDU786473:RDU786481 RNQ786473:RNQ786481 RXM786473:RXM786481 SHI786473:SHI786481 SRE786473:SRE786481 TBA786473:TBA786481 TKW786473:TKW786481 TUS786473:TUS786481 UEO786473:UEO786481 UOK786473:UOK786481 UYG786473:UYG786481 VIC786473:VIC786481 VRY786473:VRY786481 WBU786473:WBU786481 WLQ786473:WLQ786481 WVM786473:WVM786481 E852009:E852017 JA852009:JA852017 SW852009:SW852017 ACS852009:ACS852017 AMO852009:AMO852017 AWK852009:AWK852017 BGG852009:BGG852017 BQC852009:BQC852017 BZY852009:BZY852017 CJU852009:CJU852017 CTQ852009:CTQ852017 DDM852009:DDM852017 DNI852009:DNI852017 DXE852009:DXE852017 EHA852009:EHA852017 EQW852009:EQW852017 FAS852009:FAS852017 FKO852009:FKO852017 FUK852009:FUK852017 GEG852009:GEG852017 GOC852009:GOC852017 GXY852009:GXY852017 HHU852009:HHU852017 HRQ852009:HRQ852017 IBM852009:IBM852017 ILI852009:ILI852017 IVE852009:IVE852017 JFA852009:JFA852017 JOW852009:JOW852017 JYS852009:JYS852017 KIO852009:KIO852017 KSK852009:KSK852017 LCG852009:LCG852017 LMC852009:LMC852017 LVY852009:LVY852017 MFU852009:MFU852017 MPQ852009:MPQ852017 MZM852009:MZM852017 NJI852009:NJI852017 NTE852009:NTE852017 ODA852009:ODA852017 OMW852009:OMW852017 OWS852009:OWS852017 PGO852009:PGO852017 PQK852009:PQK852017 QAG852009:QAG852017 QKC852009:QKC852017 QTY852009:QTY852017 RDU852009:RDU852017 RNQ852009:RNQ852017 RXM852009:RXM852017 SHI852009:SHI852017 SRE852009:SRE852017 TBA852009:TBA852017 TKW852009:TKW852017 TUS852009:TUS852017 UEO852009:UEO852017 UOK852009:UOK852017 UYG852009:UYG852017 VIC852009:VIC852017 VRY852009:VRY852017 WBU852009:WBU852017 WLQ852009:WLQ852017 WVM852009:WVM852017 E917545:E917553 JA917545:JA917553 SW917545:SW917553 ACS917545:ACS917553 AMO917545:AMO917553 AWK917545:AWK917553 BGG917545:BGG917553 BQC917545:BQC917553 BZY917545:BZY917553 CJU917545:CJU917553 CTQ917545:CTQ917553 DDM917545:DDM917553 DNI917545:DNI917553 DXE917545:DXE917553 EHA917545:EHA917553 EQW917545:EQW917553 FAS917545:FAS917553 FKO917545:FKO917553 FUK917545:FUK917553 GEG917545:GEG917553 GOC917545:GOC917553 GXY917545:GXY917553 HHU917545:HHU917553 HRQ917545:HRQ917553 IBM917545:IBM917553 ILI917545:ILI917553 IVE917545:IVE917553 JFA917545:JFA917553 JOW917545:JOW917553 JYS917545:JYS917553 KIO917545:KIO917553 KSK917545:KSK917553 LCG917545:LCG917553 LMC917545:LMC917553 LVY917545:LVY917553 MFU917545:MFU917553 MPQ917545:MPQ917553 MZM917545:MZM917553 NJI917545:NJI917553 NTE917545:NTE917553 ODA917545:ODA917553 OMW917545:OMW917553 OWS917545:OWS917553 PGO917545:PGO917553 PQK917545:PQK917553 QAG917545:QAG917553 QKC917545:QKC917553 QTY917545:QTY917553 RDU917545:RDU917553 RNQ917545:RNQ917553 RXM917545:RXM917553 SHI917545:SHI917553 SRE917545:SRE917553 TBA917545:TBA917553 TKW917545:TKW917553 TUS917545:TUS917553 UEO917545:UEO917553 UOK917545:UOK917553 UYG917545:UYG917553 VIC917545:VIC917553 VRY917545:VRY917553 WBU917545:WBU917553 WLQ917545:WLQ917553 WVM917545:WVM917553 E983081:E983089 JA983081:JA983089 SW983081:SW983089 ACS983081:ACS983089 AMO983081:AMO983089 AWK983081:AWK983089 BGG983081:BGG983089 BQC983081:BQC983089 BZY983081:BZY983089 CJU983081:CJU983089 CTQ983081:CTQ983089 DDM983081:DDM983089 DNI983081:DNI983089 DXE983081:DXE983089 EHA983081:EHA983089 EQW983081:EQW983089 FAS983081:FAS983089 FKO983081:FKO983089 FUK983081:FUK983089 GEG983081:GEG983089 GOC983081:GOC983089 GXY983081:GXY983089 HHU983081:HHU983089 HRQ983081:HRQ983089 IBM983081:IBM983089 ILI983081:ILI983089 IVE983081:IVE983089 JFA983081:JFA983089 JOW983081:JOW983089 JYS983081:JYS983089 KIO983081:KIO983089 KSK983081:KSK983089 LCG983081:LCG983089 LMC983081:LMC983089 LVY983081:LVY983089 MFU983081:MFU983089 MPQ983081:MPQ983089 MZM983081:MZM983089 NJI983081:NJI983089 NTE983081:NTE983089 ODA983081:ODA983089 OMW983081:OMW983089 OWS983081:OWS983089 PGO983081:PGO983089 PQK983081:PQK983089 QAG983081:QAG983089 QKC983081:QKC983089 QTY983081:QTY983089 RDU983081:RDU983089 RNQ983081:RNQ983089 RXM983081:RXM983089 SHI983081:SHI983089 SRE983081:SRE983089 TBA983081:TBA983089 TKW983081:TKW983089 TUS983081:TUS983089 UEO983081:UEO983089 UOK983081:UOK983089 UYG983081:UYG983089 VIC983081:VIC983089 VRY983081:VRY983089 WBU983081:WBU983089 WLQ983081:WLQ983089 WVM983081:WVM983089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E30:E38">
      <formula1>"mm,mil"</formula1>
    </dataValidation>
    <dataValidation type="decimal" operator="greaterThan"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formula1>0.1</formula1>
    </dataValidation>
    <dataValidation type="list" errorStyle="information" allowBlank="1" showInputMessage="1" showErrorMessage="1" errorTitle="Capacitor" error="1.68e-8 is appropriate value for copper traces." sqref="WVL983091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formula1>"1.68e-8"</formula1>
    </dataValidation>
    <dataValidation type="list" errorStyle="information" allowBlank="1" showInputMessage="1" showErrorMessage="1" errorTitle="USe appropriate value" error="PCB traces should use 0.393 for copper." sqref="WVL983092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formula1>"0.393"</formula1>
    </dataValidation>
    <dataValidation type="decimal" operator="greaterThanOrEqual" allowBlank="1" showInputMessage="1" showErrorMessage="1" sqref="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formula1>0</formula1>
    </dataValidation>
    <dataValidation type="list" errorStyle="information" allowBlank="1" showInputMessage="1" showErrorMessage="1" errorTitle="Set appropriate vale" error="For Copper PCBs, 1.00 is appropriate value." sqref="WVL983093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formula1>"1.0"</formula1>
    </dataValidation>
    <dataValidation type="list" showInputMessage="1" showErrorMessage="1" sqref="WVM983077:WVM983080 JA26:JA29 SW26:SW29 ACS26:ACS29 AMO26:AMO29 AWK26:AWK29 BGG26:BGG29 BQC26:BQC29 BZY26:BZY29 CJU26:CJU29 CTQ26:CTQ29 DDM26:DDM29 DNI26:DNI29 DXE26:DXE29 EHA26:EHA29 EQW26:EQW29 FAS26:FAS29 FKO26:FKO29 FUK26:FUK29 GEG26:GEG29 GOC26:GOC29 GXY26:GXY29 HHU26:HHU29 HRQ26:HRQ29 IBM26:IBM29 ILI26:ILI29 IVE26:IVE29 JFA26:JFA29 JOW26:JOW29 JYS26:JYS29 KIO26:KIO29 KSK26:KSK29 LCG26:LCG29 LMC26:LMC29 LVY26:LVY29 MFU26:MFU29 MPQ26:MPQ29 MZM26:MZM29 NJI26:NJI29 NTE26:NTE29 ODA26:ODA29 OMW26:OMW29 OWS26:OWS29 PGO26:PGO29 PQK26:PQK29 QAG26:QAG29 QKC26:QKC29 QTY26:QTY29 RDU26:RDU29 RNQ26:RNQ29 RXM26:RXM29 SHI26:SHI29 SRE26:SRE29 TBA26:TBA29 TKW26:TKW29 TUS26:TUS29 UEO26:UEO29 UOK26:UOK29 UYG26:UYG29 VIC26:VIC29 VRY26:VRY29 WBU26:WBU29 WLQ26:WLQ29 WVM26:WVM29 E65573:E65576 JA65573:JA65576 SW65573:SW65576 ACS65573:ACS65576 AMO65573:AMO65576 AWK65573:AWK65576 BGG65573:BGG65576 BQC65573:BQC65576 BZY65573:BZY65576 CJU65573:CJU65576 CTQ65573:CTQ65576 DDM65573:DDM65576 DNI65573:DNI65576 DXE65573:DXE65576 EHA65573:EHA65576 EQW65573:EQW65576 FAS65573:FAS65576 FKO65573:FKO65576 FUK65573:FUK65576 GEG65573:GEG65576 GOC65573:GOC65576 GXY65573:GXY65576 HHU65573:HHU65576 HRQ65573:HRQ65576 IBM65573:IBM65576 ILI65573:ILI65576 IVE65573:IVE65576 JFA65573:JFA65576 JOW65573:JOW65576 JYS65573:JYS65576 KIO65573:KIO65576 KSK65573:KSK65576 LCG65573:LCG65576 LMC65573:LMC65576 LVY65573:LVY65576 MFU65573:MFU65576 MPQ65573:MPQ65576 MZM65573:MZM65576 NJI65573:NJI65576 NTE65573:NTE65576 ODA65573:ODA65576 OMW65573:OMW65576 OWS65573:OWS65576 PGO65573:PGO65576 PQK65573:PQK65576 QAG65573:QAG65576 QKC65573:QKC65576 QTY65573:QTY65576 RDU65573:RDU65576 RNQ65573:RNQ65576 RXM65573:RXM65576 SHI65573:SHI65576 SRE65573:SRE65576 TBA65573:TBA65576 TKW65573:TKW65576 TUS65573:TUS65576 UEO65573:UEO65576 UOK65573:UOK65576 UYG65573:UYG65576 VIC65573:VIC65576 VRY65573:VRY65576 WBU65573:WBU65576 WLQ65573:WLQ65576 WVM65573:WVM65576 E131109:E131112 JA131109:JA131112 SW131109:SW131112 ACS131109:ACS131112 AMO131109:AMO131112 AWK131109:AWK131112 BGG131109:BGG131112 BQC131109:BQC131112 BZY131109:BZY131112 CJU131109:CJU131112 CTQ131109:CTQ131112 DDM131109:DDM131112 DNI131109:DNI131112 DXE131109:DXE131112 EHA131109:EHA131112 EQW131109:EQW131112 FAS131109:FAS131112 FKO131109:FKO131112 FUK131109:FUK131112 GEG131109:GEG131112 GOC131109:GOC131112 GXY131109:GXY131112 HHU131109:HHU131112 HRQ131109:HRQ131112 IBM131109:IBM131112 ILI131109:ILI131112 IVE131109:IVE131112 JFA131109:JFA131112 JOW131109:JOW131112 JYS131109:JYS131112 KIO131109:KIO131112 KSK131109:KSK131112 LCG131109:LCG131112 LMC131109:LMC131112 LVY131109:LVY131112 MFU131109:MFU131112 MPQ131109:MPQ131112 MZM131109:MZM131112 NJI131109:NJI131112 NTE131109:NTE131112 ODA131109:ODA131112 OMW131109:OMW131112 OWS131109:OWS131112 PGO131109:PGO131112 PQK131109:PQK131112 QAG131109:QAG131112 QKC131109:QKC131112 QTY131109:QTY131112 RDU131109:RDU131112 RNQ131109:RNQ131112 RXM131109:RXM131112 SHI131109:SHI131112 SRE131109:SRE131112 TBA131109:TBA131112 TKW131109:TKW131112 TUS131109:TUS131112 UEO131109:UEO131112 UOK131109:UOK131112 UYG131109:UYG131112 VIC131109:VIC131112 VRY131109:VRY131112 WBU131109:WBU131112 WLQ131109:WLQ131112 WVM131109:WVM131112 E196645:E196648 JA196645:JA196648 SW196645:SW196648 ACS196645:ACS196648 AMO196645:AMO196648 AWK196645:AWK196648 BGG196645:BGG196648 BQC196645:BQC196648 BZY196645:BZY196648 CJU196645:CJU196648 CTQ196645:CTQ196648 DDM196645:DDM196648 DNI196645:DNI196648 DXE196645:DXE196648 EHA196645:EHA196648 EQW196645:EQW196648 FAS196645:FAS196648 FKO196645:FKO196648 FUK196645:FUK196648 GEG196645:GEG196648 GOC196645:GOC196648 GXY196645:GXY196648 HHU196645:HHU196648 HRQ196645:HRQ196648 IBM196645:IBM196648 ILI196645:ILI196648 IVE196645:IVE196648 JFA196645:JFA196648 JOW196645:JOW196648 JYS196645:JYS196648 KIO196645:KIO196648 KSK196645:KSK196648 LCG196645:LCG196648 LMC196645:LMC196648 LVY196645:LVY196648 MFU196645:MFU196648 MPQ196645:MPQ196648 MZM196645:MZM196648 NJI196645:NJI196648 NTE196645:NTE196648 ODA196645:ODA196648 OMW196645:OMW196648 OWS196645:OWS196648 PGO196645:PGO196648 PQK196645:PQK196648 QAG196645:QAG196648 QKC196645:QKC196648 QTY196645:QTY196648 RDU196645:RDU196648 RNQ196645:RNQ196648 RXM196645:RXM196648 SHI196645:SHI196648 SRE196645:SRE196648 TBA196645:TBA196648 TKW196645:TKW196648 TUS196645:TUS196648 UEO196645:UEO196648 UOK196645:UOK196648 UYG196645:UYG196648 VIC196645:VIC196648 VRY196645:VRY196648 WBU196645:WBU196648 WLQ196645:WLQ196648 WVM196645:WVM196648 E262181:E262184 JA262181:JA262184 SW262181:SW262184 ACS262181:ACS262184 AMO262181:AMO262184 AWK262181:AWK262184 BGG262181:BGG262184 BQC262181:BQC262184 BZY262181:BZY262184 CJU262181:CJU262184 CTQ262181:CTQ262184 DDM262181:DDM262184 DNI262181:DNI262184 DXE262181:DXE262184 EHA262181:EHA262184 EQW262181:EQW262184 FAS262181:FAS262184 FKO262181:FKO262184 FUK262181:FUK262184 GEG262181:GEG262184 GOC262181:GOC262184 GXY262181:GXY262184 HHU262181:HHU262184 HRQ262181:HRQ262184 IBM262181:IBM262184 ILI262181:ILI262184 IVE262181:IVE262184 JFA262181:JFA262184 JOW262181:JOW262184 JYS262181:JYS262184 KIO262181:KIO262184 KSK262181:KSK262184 LCG262181:LCG262184 LMC262181:LMC262184 LVY262181:LVY262184 MFU262181:MFU262184 MPQ262181:MPQ262184 MZM262181:MZM262184 NJI262181:NJI262184 NTE262181:NTE262184 ODA262181:ODA262184 OMW262181:OMW262184 OWS262181:OWS262184 PGO262181:PGO262184 PQK262181:PQK262184 QAG262181:QAG262184 QKC262181:QKC262184 QTY262181:QTY262184 RDU262181:RDU262184 RNQ262181:RNQ262184 RXM262181:RXM262184 SHI262181:SHI262184 SRE262181:SRE262184 TBA262181:TBA262184 TKW262181:TKW262184 TUS262181:TUS262184 UEO262181:UEO262184 UOK262181:UOK262184 UYG262181:UYG262184 VIC262181:VIC262184 VRY262181:VRY262184 WBU262181:WBU262184 WLQ262181:WLQ262184 WVM262181:WVM262184 E327717:E327720 JA327717:JA327720 SW327717:SW327720 ACS327717:ACS327720 AMO327717:AMO327720 AWK327717:AWK327720 BGG327717:BGG327720 BQC327717:BQC327720 BZY327717:BZY327720 CJU327717:CJU327720 CTQ327717:CTQ327720 DDM327717:DDM327720 DNI327717:DNI327720 DXE327717:DXE327720 EHA327717:EHA327720 EQW327717:EQW327720 FAS327717:FAS327720 FKO327717:FKO327720 FUK327717:FUK327720 GEG327717:GEG327720 GOC327717:GOC327720 GXY327717:GXY327720 HHU327717:HHU327720 HRQ327717:HRQ327720 IBM327717:IBM327720 ILI327717:ILI327720 IVE327717:IVE327720 JFA327717:JFA327720 JOW327717:JOW327720 JYS327717:JYS327720 KIO327717:KIO327720 KSK327717:KSK327720 LCG327717:LCG327720 LMC327717:LMC327720 LVY327717:LVY327720 MFU327717:MFU327720 MPQ327717:MPQ327720 MZM327717:MZM327720 NJI327717:NJI327720 NTE327717:NTE327720 ODA327717:ODA327720 OMW327717:OMW327720 OWS327717:OWS327720 PGO327717:PGO327720 PQK327717:PQK327720 QAG327717:QAG327720 QKC327717:QKC327720 QTY327717:QTY327720 RDU327717:RDU327720 RNQ327717:RNQ327720 RXM327717:RXM327720 SHI327717:SHI327720 SRE327717:SRE327720 TBA327717:TBA327720 TKW327717:TKW327720 TUS327717:TUS327720 UEO327717:UEO327720 UOK327717:UOK327720 UYG327717:UYG327720 VIC327717:VIC327720 VRY327717:VRY327720 WBU327717:WBU327720 WLQ327717:WLQ327720 WVM327717:WVM327720 E393253:E393256 JA393253:JA393256 SW393253:SW393256 ACS393253:ACS393256 AMO393253:AMO393256 AWK393253:AWK393256 BGG393253:BGG393256 BQC393253:BQC393256 BZY393253:BZY393256 CJU393253:CJU393256 CTQ393253:CTQ393256 DDM393253:DDM393256 DNI393253:DNI393256 DXE393253:DXE393256 EHA393253:EHA393256 EQW393253:EQW393256 FAS393253:FAS393256 FKO393253:FKO393256 FUK393253:FUK393256 GEG393253:GEG393256 GOC393253:GOC393256 GXY393253:GXY393256 HHU393253:HHU393256 HRQ393253:HRQ393256 IBM393253:IBM393256 ILI393253:ILI393256 IVE393253:IVE393256 JFA393253:JFA393256 JOW393253:JOW393256 JYS393253:JYS393256 KIO393253:KIO393256 KSK393253:KSK393256 LCG393253:LCG393256 LMC393253:LMC393256 LVY393253:LVY393256 MFU393253:MFU393256 MPQ393253:MPQ393256 MZM393253:MZM393256 NJI393253:NJI393256 NTE393253:NTE393256 ODA393253:ODA393256 OMW393253:OMW393256 OWS393253:OWS393256 PGO393253:PGO393256 PQK393253:PQK393256 QAG393253:QAG393256 QKC393253:QKC393256 QTY393253:QTY393256 RDU393253:RDU393256 RNQ393253:RNQ393256 RXM393253:RXM393256 SHI393253:SHI393256 SRE393253:SRE393256 TBA393253:TBA393256 TKW393253:TKW393256 TUS393253:TUS393256 UEO393253:UEO393256 UOK393253:UOK393256 UYG393253:UYG393256 VIC393253:VIC393256 VRY393253:VRY393256 WBU393253:WBU393256 WLQ393253:WLQ393256 WVM393253:WVM393256 E458789:E458792 JA458789:JA458792 SW458789:SW458792 ACS458789:ACS458792 AMO458789:AMO458792 AWK458789:AWK458792 BGG458789:BGG458792 BQC458789:BQC458792 BZY458789:BZY458792 CJU458789:CJU458792 CTQ458789:CTQ458792 DDM458789:DDM458792 DNI458789:DNI458792 DXE458789:DXE458792 EHA458789:EHA458792 EQW458789:EQW458792 FAS458789:FAS458792 FKO458789:FKO458792 FUK458789:FUK458792 GEG458789:GEG458792 GOC458789:GOC458792 GXY458789:GXY458792 HHU458789:HHU458792 HRQ458789:HRQ458792 IBM458789:IBM458792 ILI458789:ILI458792 IVE458789:IVE458792 JFA458789:JFA458792 JOW458789:JOW458792 JYS458789:JYS458792 KIO458789:KIO458792 KSK458789:KSK458792 LCG458789:LCG458792 LMC458789:LMC458792 LVY458789:LVY458792 MFU458789:MFU458792 MPQ458789:MPQ458792 MZM458789:MZM458792 NJI458789:NJI458792 NTE458789:NTE458792 ODA458789:ODA458792 OMW458789:OMW458792 OWS458789:OWS458792 PGO458789:PGO458792 PQK458789:PQK458792 QAG458789:QAG458792 QKC458789:QKC458792 QTY458789:QTY458792 RDU458789:RDU458792 RNQ458789:RNQ458792 RXM458789:RXM458792 SHI458789:SHI458792 SRE458789:SRE458792 TBA458789:TBA458792 TKW458789:TKW458792 TUS458789:TUS458792 UEO458789:UEO458792 UOK458789:UOK458792 UYG458789:UYG458792 VIC458789:VIC458792 VRY458789:VRY458792 WBU458789:WBU458792 WLQ458789:WLQ458792 WVM458789:WVM458792 E524325:E524328 JA524325:JA524328 SW524325:SW524328 ACS524325:ACS524328 AMO524325:AMO524328 AWK524325:AWK524328 BGG524325:BGG524328 BQC524325:BQC524328 BZY524325:BZY524328 CJU524325:CJU524328 CTQ524325:CTQ524328 DDM524325:DDM524328 DNI524325:DNI524328 DXE524325:DXE524328 EHA524325:EHA524328 EQW524325:EQW524328 FAS524325:FAS524328 FKO524325:FKO524328 FUK524325:FUK524328 GEG524325:GEG524328 GOC524325:GOC524328 GXY524325:GXY524328 HHU524325:HHU524328 HRQ524325:HRQ524328 IBM524325:IBM524328 ILI524325:ILI524328 IVE524325:IVE524328 JFA524325:JFA524328 JOW524325:JOW524328 JYS524325:JYS524328 KIO524325:KIO524328 KSK524325:KSK524328 LCG524325:LCG524328 LMC524325:LMC524328 LVY524325:LVY524328 MFU524325:MFU524328 MPQ524325:MPQ524328 MZM524325:MZM524328 NJI524325:NJI524328 NTE524325:NTE524328 ODA524325:ODA524328 OMW524325:OMW524328 OWS524325:OWS524328 PGO524325:PGO524328 PQK524325:PQK524328 QAG524325:QAG524328 QKC524325:QKC524328 QTY524325:QTY524328 RDU524325:RDU524328 RNQ524325:RNQ524328 RXM524325:RXM524328 SHI524325:SHI524328 SRE524325:SRE524328 TBA524325:TBA524328 TKW524325:TKW524328 TUS524325:TUS524328 UEO524325:UEO524328 UOK524325:UOK524328 UYG524325:UYG524328 VIC524325:VIC524328 VRY524325:VRY524328 WBU524325:WBU524328 WLQ524325:WLQ524328 WVM524325:WVM524328 E589861:E589864 JA589861:JA589864 SW589861:SW589864 ACS589861:ACS589864 AMO589861:AMO589864 AWK589861:AWK589864 BGG589861:BGG589864 BQC589861:BQC589864 BZY589861:BZY589864 CJU589861:CJU589864 CTQ589861:CTQ589864 DDM589861:DDM589864 DNI589861:DNI589864 DXE589861:DXE589864 EHA589861:EHA589864 EQW589861:EQW589864 FAS589861:FAS589864 FKO589861:FKO589864 FUK589861:FUK589864 GEG589861:GEG589864 GOC589861:GOC589864 GXY589861:GXY589864 HHU589861:HHU589864 HRQ589861:HRQ589864 IBM589861:IBM589864 ILI589861:ILI589864 IVE589861:IVE589864 JFA589861:JFA589864 JOW589861:JOW589864 JYS589861:JYS589864 KIO589861:KIO589864 KSK589861:KSK589864 LCG589861:LCG589864 LMC589861:LMC589864 LVY589861:LVY589864 MFU589861:MFU589864 MPQ589861:MPQ589864 MZM589861:MZM589864 NJI589861:NJI589864 NTE589861:NTE589864 ODA589861:ODA589864 OMW589861:OMW589864 OWS589861:OWS589864 PGO589861:PGO589864 PQK589861:PQK589864 QAG589861:QAG589864 QKC589861:QKC589864 QTY589861:QTY589864 RDU589861:RDU589864 RNQ589861:RNQ589864 RXM589861:RXM589864 SHI589861:SHI589864 SRE589861:SRE589864 TBA589861:TBA589864 TKW589861:TKW589864 TUS589861:TUS589864 UEO589861:UEO589864 UOK589861:UOK589864 UYG589861:UYG589864 VIC589861:VIC589864 VRY589861:VRY589864 WBU589861:WBU589864 WLQ589861:WLQ589864 WVM589861:WVM589864 E655397:E655400 JA655397:JA655400 SW655397:SW655400 ACS655397:ACS655400 AMO655397:AMO655400 AWK655397:AWK655400 BGG655397:BGG655400 BQC655397:BQC655400 BZY655397:BZY655400 CJU655397:CJU655400 CTQ655397:CTQ655400 DDM655397:DDM655400 DNI655397:DNI655400 DXE655397:DXE655400 EHA655397:EHA655400 EQW655397:EQW655400 FAS655397:FAS655400 FKO655397:FKO655400 FUK655397:FUK655400 GEG655397:GEG655400 GOC655397:GOC655400 GXY655397:GXY655400 HHU655397:HHU655400 HRQ655397:HRQ655400 IBM655397:IBM655400 ILI655397:ILI655400 IVE655397:IVE655400 JFA655397:JFA655400 JOW655397:JOW655400 JYS655397:JYS655400 KIO655397:KIO655400 KSK655397:KSK655400 LCG655397:LCG655400 LMC655397:LMC655400 LVY655397:LVY655400 MFU655397:MFU655400 MPQ655397:MPQ655400 MZM655397:MZM655400 NJI655397:NJI655400 NTE655397:NTE655400 ODA655397:ODA655400 OMW655397:OMW655400 OWS655397:OWS655400 PGO655397:PGO655400 PQK655397:PQK655400 QAG655397:QAG655400 QKC655397:QKC655400 QTY655397:QTY655400 RDU655397:RDU655400 RNQ655397:RNQ655400 RXM655397:RXM655400 SHI655397:SHI655400 SRE655397:SRE655400 TBA655397:TBA655400 TKW655397:TKW655400 TUS655397:TUS655400 UEO655397:UEO655400 UOK655397:UOK655400 UYG655397:UYG655400 VIC655397:VIC655400 VRY655397:VRY655400 WBU655397:WBU655400 WLQ655397:WLQ655400 WVM655397:WVM655400 E720933:E720936 JA720933:JA720936 SW720933:SW720936 ACS720933:ACS720936 AMO720933:AMO720936 AWK720933:AWK720936 BGG720933:BGG720936 BQC720933:BQC720936 BZY720933:BZY720936 CJU720933:CJU720936 CTQ720933:CTQ720936 DDM720933:DDM720936 DNI720933:DNI720936 DXE720933:DXE720936 EHA720933:EHA720936 EQW720933:EQW720936 FAS720933:FAS720936 FKO720933:FKO720936 FUK720933:FUK720936 GEG720933:GEG720936 GOC720933:GOC720936 GXY720933:GXY720936 HHU720933:HHU720936 HRQ720933:HRQ720936 IBM720933:IBM720936 ILI720933:ILI720936 IVE720933:IVE720936 JFA720933:JFA720936 JOW720933:JOW720936 JYS720933:JYS720936 KIO720933:KIO720936 KSK720933:KSK720936 LCG720933:LCG720936 LMC720933:LMC720936 LVY720933:LVY720936 MFU720933:MFU720936 MPQ720933:MPQ720936 MZM720933:MZM720936 NJI720933:NJI720936 NTE720933:NTE720936 ODA720933:ODA720936 OMW720933:OMW720936 OWS720933:OWS720936 PGO720933:PGO720936 PQK720933:PQK720936 QAG720933:QAG720936 QKC720933:QKC720936 QTY720933:QTY720936 RDU720933:RDU720936 RNQ720933:RNQ720936 RXM720933:RXM720936 SHI720933:SHI720936 SRE720933:SRE720936 TBA720933:TBA720936 TKW720933:TKW720936 TUS720933:TUS720936 UEO720933:UEO720936 UOK720933:UOK720936 UYG720933:UYG720936 VIC720933:VIC720936 VRY720933:VRY720936 WBU720933:WBU720936 WLQ720933:WLQ720936 WVM720933:WVM720936 E786469:E786472 JA786469:JA786472 SW786469:SW786472 ACS786469:ACS786472 AMO786469:AMO786472 AWK786469:AWK786472 BGG786469:BGG786472 BQC786469:BQC786472 BZY786469:BZY786472 CJU786469:CJU786472 CTQ786469:CTQ786472 DDM786469:DDM786472 DNI786469:DNI786472 DXE786469:DXE786472 EHA786469:EHA786472 EQW786469:EQW786472 FAS786469:FAS786472 FKO786469:FKO786472 FUK786469:FUK786472 GEG786469:GEG786472 GOC786469:GOC786472 GXY786469:GXY786472 HHU786469:HHU786472 HRQ786469:HRQ786472 IBM786469:IBM786472 ILI786469:ILI786472 IVE786469:IVE786472 JFA786469:JFA786472 JOW786469:JOW786472 JYS786469:JYS786472 KIO786469:KIO786472 KSK786469:KSK786472 LCG786469:LCG786472 LMC786469:LMC786472 LVY786469:LVY786472 MFU786469:MFU786472 MPQ786469:MPQ786472 MZM786469:MZM786472 NJI786469:NJI786472 NTE786469:NTE786472 ODA786469:ODA786472 OMW786469:OMW786472 OWS786469:OWS786472 PGO786469:PGO786472 PQK786469:PQK786472 QAG786469:QAG786472 QKC786469:QKC786472 QTY786469:QTY786472 RDU786469:RDU786472 RNQ786469:RNQ786472 RXM786469:RXM786472 SHI786469:SHI786472 SRE786469:SRE786472 TBA786469:TBA786472 TKW786469:TKW786472 TUS786469:TUS786472 UEO786469:UEO786472 UOK786469:UOK786472 UYG786469:UYG786472 VIC786469:VIC786472 VRY786469:VRY786472 WBU786469:WBU786472 WLQ786469:WLQ786472 WVM786469:WVM786472 E852005:E852008 JA852005:JA852008 SW852005:SW852008 ACS852005:ACS852008 AMO852005:AMO852008 AWK852005:AWK852008 BGG852005:BGG852008 BQC852005:BQC852008 BZY852005:BZY852008 CJU852005:CJU852008 CTQ852005:CTQ852008 DDM852005:DDM852008 DNI852005:DNI852008 DXE852005:DXE852008 EHA852005:EHA852008 EQW852005:EQW852008 FAS852005:FAS852008 FKO852005:FKO852008 FUK852005:FUK852008 GEG852005:GEG852008 GOC852005:GOC852008 GXY852005:GXY852008 HHU852005:HHU852008 HRQ852005:HRQ852008 IBM852005:IBM852008 ILI852005:ILI852008 IVE852005:IVE852008 JFA852005:JFA852008 JOW852005:JOW852008 JYS852005:JYS852008 KIO852005:KIO852008 KSK852005:KSK852008 LCG852005:LCG852008 LMC852005:LMC852008 LVY852005:LVY852008 MFU852005:MFU852008 MPQ852005:MPQ852008 MZM852005:MZM852008 NJI852005:NJI852008 NTE852005:NTE852008 ODA852005:ODA852008 OMW852005:OMW852008 OWS852005:OWS852008 PGO852005:PGO852008 PQK852005:PQK852008 QAG852005:QAG852008 QKC852005:QKC852008 QTY852005:QTY852008 RDU852005:RDU852008 RNQ852005:RNQ852008 RXM852005:RXM852008 SHI852005:SHI852008 SRE852005:SRE852008 TBA852005:TBA852008 TKW852005:TKW852008 TUS852005:TUS852008 UEO852005:UEO852008 UOK852005:UOK852008 UYG852005:UYG852008 VIC852005:VIC852008 VRY852005:VRY852008 WBU852005:WBU852008 WLQ852005:WLQ852008 WVM852005:WVM852008 E917541:E917544 JA917541:JA917544 SW917541:SW917544 ACS917541:ACS917544 AMO917541:AMO917544 AWK917541:AWK917544 BGG917541:BGG917544 BQC917541:BQC917544 BZY917541:BZY917544 CJU917541:CJU917544 CTQ917541:CTQ917544 DDM917541:DDM917544 DNI917541:DNI917544 DXE917541:DXE917544 EHA917541:EHA917544 EQW917541:EQW917544 FAS917541:FAS917544 FKO917541:FKO917544 FUK917541:FUK917544 GEG917541:GEG917544 GOC917541:GOC917544 GXY917541:GXY917544 HHU917541:HHU917544 HRQ917541:HRQ917544 IBM917541:IBM917544 ILI917541:ILI917544 IVE917541:IVE917544 JFA917541:JFA917544 JOW917541:JOW917544 JYS917541:JYS917544 KIO917541:KIO917544 KSK917541:KSK917544 LCG917541:LCG917544 LMC917541:LMC917544 LVY917541:LVY917544 MFU917541:MFU917544 MPQ917541:MPQ917544 MZM917541:MZM917544 NJI917541:NJI917544 NTE917541:NTE917544 ODA917541:ODA917544 OMW917541:OMW917544 OWS917541:OWS917544 PGO917541:PGO917544 PQK917541:PQK917544 QAG917541:QAG917544 QKC917541:QKC917544 QTY917541:QTY917544 RDU917541:RDU917544 RNQ917541:RNQ917544 RXM917541:RXM917544 SHI917541:SHI917544 SRE917541:SRE917544 TBA917541:TBA917544 TKW917541:TKW917544 TUS917541:TUS917544 UEO917541:UEO917544 UOK917541:UOK917544 UYG917541:UYG917544 VIC917541:VIC917544 VRY917541:VRY917544 WBU917541:WBU917544 WLQ917541:WLQ917544 WVM917541:WVM917544 E983077:E983080 JA983077:JA983080 SW983077:SW983080 ACS983077:ACS983080 AMO983077:AMO983080 AWK983077:AWK983080 BGG983077:BGG983080 BQC983077:BQC983080 BZY983077:BZY983080 CJU983077:CJU983080 CTQ983077:CTQ983080 DDM983077:DDM983080 DNI983077:DNI983080 DXE983077:DXE983080 EHA983077:EHA983080 EQW983077:EQW983080 FAS983077:FAS983080 FKO983077:FKO983080 FUK983077:FUK983080 GEG983077:GEG983080 GOC983077:GOC983080 GXY983077:GXY983080 HHU983077:HHU983080 HRQ983077:HRQ983080 IBM983077:IBM983080 ILI983077:ILI983080 IVE983077:IVE983080 JFA983077:JFA983080 JOW983077:JOW983080 JYS983077:JYS983080 KIO983077:KIO983080 KSK983077:KSK983080 LCG983077:LCG983080 LMC983077:LMC983080 LVY983077:LVY983080 MFU983077:MFU983080 MPQ983077:MPQ983080 MZM983077:MZM983080 NJI983077:NJI983080 NTE983077:NTE983080 ODA983077:ODA983080 OMW983077:OMW983080 OWS983077:OWS983080 PGO983077:PGO983080 PQK983077:PQK983080 QAG983077:QAG983080 QKC983077:QKC983080 QTY983077:QTY983080 RDU983077:RDU983080 RNQ983077:RNQ983080 RXM983077:RXM983080 SHI983077:SHI983080 SRE983077:SRE983080 TBA983077:TBA983080 TKW983077:TKW983080 TUS983077:TUS983080 UEO983077:UEO983080 UOK983077:UOK983080 UYG983077:UYG983080 VIC983077:VIC983080 VRY983077:VRY983080 WBU983077:WBU983080 WLQ983077:WLQ983080 E26:E27">
      <formula1>"mm"</formula1>
    </dataValidation>
    <dataValidation type="decimal" operator="greaterThanOrEqual" allowBlank="1" showInputMessage="1" showErrorMessage="1" errorTitle="Incorrect value" error="This value cannot be less than 1.0"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ormula1>1</formula1>
    </dataValidation>
    <dataValidation type="list" allowBlank="1" showInputMessage="1" showErrorMessage="1" sqref="D20">
      <formula1>$B$98:$B$103</formula1>
    </dataValidation>
    <dataValidation type="decimal" errorStyle="information" operator="greaterThan" allowBlank="1" showInputMessage="1" showErrorMessage="1" errorTitle="USe appropriate value" error="PCB traces should use 0.393 for copper." sqref="D41">
      <formula1>0.001</formula1>
    </dataValidation>
    <dataValidation errorStyle="information" allowBlank="1" showInputMessage="1" showErrorMessage="1" errorTitle="Set appropriate vale" error="For Copper PCBs, 1.00 is appropriate value." sqref="D42"/>
    <dataValidation errorStyle="information" allowBlank="1" showInputMessage="1" showErrorMessage="1" errorTitle="Capacitor" error="1.68e-8 is appropriate value for copper traces." sqref="D40"/>
    <dataValidation type="decimal" errorStyle="warning" allowBlank="1" showInputMessage="1" showErrorMessage="1" error="This thickness may not be manufacturable. " sqref="D39">
      <formula1>0.001</formula1>
      <formula2>15</formula2>
    </dataValidation>
  </dataValidations>
  <hyperlinks>
    <hyperlink ref="G2" location="Contents!A1" display="Return to Main page"/>
    <hyperlink ref="B4" r:id="rId1"/>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Visio.Drawing.11" shapeId="53249" r:id="rId5">
          <objectPr defaultSize="0" autoPict="0" r:id="rId6">
            <anchor moveWithCells="1">
              <from>
                <xdr:col>1</xdr:col>
                <xdr:colOff>419100</xdr:colOff>
                <xdr:row>5</xdr:row>
                <xdr:rowOff>38100</xdr:rowOff>
              </from>
              <to>
                <xdr:col>4</xdr:col>
                <xdr:colOff>165100</xdr:colOff>
                <xdr:row>13</xdr:row>
                <xdr:rowOff>76200</xdr:rowOff>
              </to>
            </anchor>
          </objectPr>
        </oleObject>
      </mc:Choice>
      <mc:Fallback>
        <oleObject progId="Visio.Drawing.11" shapeId="53249"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B2:U105"/>
  <sheetViews>
    <sheetView showGridLines="0" showRowColHeaders="0" zoomScale="115" zoomScaleNormal="115" workbookViewId="0">
      <selection activeCell="P46" sqref="P46"/>
    </sheetView>
  </sheetViews>
  <sheetFormatPr defaultRowHeight="14.5" x14ac:dyDescent="0.35"/>
  <cols>
    <col min="2" max="2" width="26.54296875" customWidth="1"/>
    <col min="3" max="3" width="14.6328125" customWidth="1"/>
    <col min="4" max="4" width="4.7265625" customWidth="1"/>
    <col min="5" max="5" width="14.6328125" customWidth="1"/>
    <col min="6" max="6" width="4.08984375" customWidth="1"/>
    <col min="7" max="7" width="14.6328125" customWidth="1"/>
    <col min="8" max="8" width="4.36328125" customWidth="1"/>
    <col min="9" max="9" width="14.6328125" customWidth="1"/>
    <col min="10" max="10" width="4.26953125" customWidth="1"/>
  </cols>
  <sheetData>
    <row r="2" spans="2:11" ht="18.5" x14ac:dyDescent="0.45">
      <c r="B2" s="4" t="s">
        <v>657</v>
      </c>
      <c r="E2" s="21" t="s">
        <v>211</v>
      </c>
    </row>
    <row r="3" spans="2:11" ht="18.5" x14ac:dyDescent="0.45">
      <c r="B3" s="4"/>
      <c r="G3" s="21"/>
    </row>
    <row r="4" spans="2:11" ht="15.5" x14ac:dyDescent="0.35">
      <c r="B4" s="503" t="s">
        <v>848</v>
      </c>
      <c r="C4" s="47" t="s">
        <v>558</v>
      </c>
    </row>
    <row r="5" spans="2:11" ht="15.5" x14ac:dyDescent="0.35">
      <c r="B5" s="23"/>
      <c r="C5" s="381" t="s">
        <v>751</v>
      </c>
      <c r="E5" s="381" t="s">
        <v>752</v>
      </c>
      <c r="G5" s="381" t="s">
        <v>753</v>
      </c>
      <c r="I5" s="381" t="s">
        <v>754</v>
      </c>
      <c r="J5" s="405"/>
      <c r="K5" s="405"/>
    </row>
    <row r="6" spans="2:11" hidden="1" x14ac:dyDescent="0.35">
      <c r="C6" s="499"/>
      <c r="E6" s="12"/>
      <c r="G6" s="12"/>
      <c r="I6" s="12"/>
      <c r="J6" s="405"/>
      <c r="K6" s="405"/>
    </row>
    <row r="7" spans="2:11" ht="15.5" x14ac:dyDescent="0.35">
      <c r="B7" s="23" t="s">
        <v>773</v>
      </c>
      <c r="C7" s="500" t="b">
        <v>1</v>
      </c>
      <c r="D7" s="493"/>
      <c r="E7" s="502" t="b">
        <v>1</v>
      </c>
      <c r="F7" s="494"/>
      <c r="G7" s="502" t="b">
        <v>1</v>
      </c>
      <c r="H7" s="494"/>
      <c r="I7" s="502" t="b">
        <v>1</v>
      </c>
      <c r="J7" s="95" t="str">
        <f>IF(AND(C4="LDC2112",OR(G7=TRUE(),I7=TRUE())),"LDC2112 does not have Ch2 or Ch3","")</f>
        <v/>
      </c>
    </row>
    <row r="8" spans="2:11" ht="15.5" x14ac:dyDescent="0.35">
      <c r="B8" s="23" t="s">
        <v>755</v>
      </c>
      <c r="C8" s="500" t="b">
        <v>1</v>
      </c>
      <c r="D8" s="493"/>
      <c r="E8" s="502" t="b">
        <v>0</v>
      </c>
      <c r="F8" s="494"/>
      <c r="G8" s="502" t="b">
        <v>0</v>
      </c>
      <c r="H8" s="494"/>
      <c r="I8" s="502" t="b">
        <v>0</v>
      </c>
      <c r="J8" s="95" t="str">
        <f>IF(SUM(C11,E11,G11,I11)&gt;SUM(C12,E12,G12,I12),"LP Mode requires Enabled Button","")</f>
        <v/>
      </c>
    </row>
    <row r="9" spans="2:11" ht="15.5" hidden="1" x14ac:dyDescent="0.35">
      <c r="B9" s="23"/>
      <c r="C9" s="501"/>
    </row>
    <row r="10" spans="2:11" hidden="1" x14ac:dyDescent="0.35">
      <c r="B10" s="7" t="s">
        <v>756</v>
      </c>
      <c r="C10" s="80">
        <f>IF(C7=TRUE(),1,0)</f>
        <v>1</v>
      </c>
      <c r="E10" s="80">
        <f t="shared" ref="E10" si="0">IF(E7=TRUE(),1,0)</f>
        <v>1</v>
      </c>
      <c r="G10" s="80">
        <f>IF(G7=TRUE(),IF(C4="LDC2114",1,0),0)</f>
        <v>1</v>
      </c>
      <c r="I10" s="80">
        <f>IF(I7=TRUE(),IF(C4="LDC2114",1,0),0)</f>
        <v>1</v>
      </c>
    </row>
    <row r="11" spans="2:11" hidden="1" x14ac:dyDescent="0.35">
      <c r="B11" s="7" t="s">
        <v>762</v>
      </c>
      <c r="C11" s="80">
        <f>IF(C8=TRUE(),1,0)</f>
        <v>1</v>
      </c>
      <c r="D11" s="13"/>
      <c r="E11" s="80">
        <f>IF(E8=TRUE(),1,0)</f>
        <v>0</v>
      </c>
      <c r="F11" s="13"/>
      <c r="G11" s="80">
        <f>IF(G8=TRUE(),1,0)</f>
        <v>0</v>
      </c>
      <c r="H11" s="13"/>
      <c r="I11" s="80">
        <f>IF(I8=TRUE(),1,0)</f>
        <v>0</v>
      </c>
    </row>
    <row r="12" spans="2:11" hidden="1" x14ac:dyDescent="0.35">
      <c r="B12" s="7" t="s">
        <v>761</v>
      </c>
      <c r="C12" s="80">
        <f>IF(C8=TRUE(),IF(C7=TRUE(),1,0),0)</f>
        <v>1</v>
      </c>
      <c r="E12" s="80">
        <f t="shared" ref="E12:I12" si="1">IF(E8=TRUE(),IF(E7=TRUE(),1,0),0)</f>
        <v>0</v>
      </c>
      <c r="G12" s="80">
        <f t="shared" si="1"/>
        <v>0</v>
      </c>
      <c r="I12" s="80">
        <f t="shared" si="1"/>
        <v>0</v>
      </c>
    </row>
    <row r="13" spans="2:11" x14ac:dyDescent="0.35">
      <c r="B13" s="10" t="s">
        <v>659</v>
      </c>
      <c r="C13" s="184">
        <v>1.8</v>
      </c>
      <c r="D13" s="6" t="s">
        <v>257</v>
      </c>
      <c r="E13" s="184">
        <v>1.8</v>
      </c>
      <c r="F13" s="6" t="s">
        <v>257</v>
      </c>
      <c r="G13" s="184">
        <v>1.8</v>
      </c>
      <c r="H13" s="6" t="s">
        <v>257</v>
      </c>
      <c r="I13" s="184">
        <v>1.8</v>
      </c>
      <c r="J13" s="6" t="s">
        <v>257</v>
      </c>
    </row>
    <row r="14" spans="2:11" x14ac:dyDescent="0.35">
      <c r="B14" s="10" t="s">
        <v>653</v>
      </c>
      <c r="C14" s="202" t="str">
        <f>IF(C13&lt;3,"350Ω ≤ RP ≤ 4kΩ","800Ω ≤ RP ≤ 10kΩ")</f>
        <v>350Ω ≤ RP ≤ 4kΩ</v>
      </c>
      <c r="D14" s="6"/>
      <c r="E14" s="202" t="str">
        <f>IF(E13&lt;3,"350Ω ≤ RP ≤ 4kΩ","800Ω ≤ RP ≤ 10kΩ")</f>
        <v>350Ω ≤ RP ≤ 4kΩ</v>
      </c>
      <c r="F14" s="6"/>
      <c r="G14" s="202" t="str">
        <f>IF(G13&lt;3,"350Ω ≤ RP ≤ 4kΩ","800Ω ≤ RP ≤ 10kΩ")</f>
        <v>350Ω ≤ RP ≤ 4kΩ</v>
      </c>
      <c r="H14" s="6"/>
      <c r="I14" s="202" t="str">
        <f>IF(I13&lt;3,"350Ω ≤ RP ≤ 4kΩ","800Ω ≤ RP ≤ 10kΩ")</f>
        <v>350Ω ≤ RP ≤ 4kΩ</v>
      </c>
      <c r="J14" s="6"/>
    </row>
    <row r="15" spans="2:11" ht="16.5" x14ac:dyDescent="0.45">
      <c r="B15" s="10" t="s">
        <v>678</v>
      </c>
      <c r="C15" s="54">
        <v>18</v>
      </c>
      <c r="D15" s="6" t="s">
        <v>0</v>
      </c>
      <c r="E15" s="54">
        <v>19</v>
      </c>
      <c r="F15" s="6" t="s">
        <v>0</v>
      </c>
      <c r="G15" s="54">
        <v>20</v>
      </c>
      <c r="H15" s="6" t="s">
        <v>0</v>
      </c>
      <c r="I15" s="54">
        <v>21</v>
      </c>
      <c r="J15" s="6" t="s">
        <v>0</v>
      </c>
    </row>
    <row r="16" spans="2:11" x14ac:dyDescent="0.35">
      <c r="B16" s="10" t="s">
        <v>676</v>
      </c>
      <c r="C16" s="446">
        <v>1</v>
      </c>
      <c r="D16" s="6" t="s">
        <v>242</v>
      </c>
      <c r="E16" s="446">
        <v>1</v>
      </c>
      <c r="F16" s="6" t="s">
        <v>242</v>
      </c>
      <c r="G16" s="446">
        <v>1</v>
      </c>
      <c r="H16" s="6" t="s">
        <v>242</v>
      </c>
      <c r="I16" s="446">
        <v>1</v>
      </c>
      <c r="J16" s="6" t="s">
        <v>242</v>
      </c>
    </row>
    <row r="17" spans="2:11" hidden="1" x14ac:dyDescent="0.35">
      <c r="B17" s="7" t="s">
        <v>650</v>
      </c>
      <c r="C17" s="440">
        <f>IF(C14="800Ω ≤ RP ≤ 10kΩ",1,0)</f>
        <v>0</v>
      </c>
      <c r="D17" s="6"/>
      <c r="E17" s="440">
        <f>IF(E14="800Ω ≤ RP ≤ 10kΩ",1,0)</f>
        <v>0</v>
      </c>
      <c r="F17" s="6"/>
      <c r="G17" s="440">
        <f>IF(G14="800Ω ≤ RP ≤ 10kΩ",1,0)</f>
        <v>0</v>
      </c>
      <c r="H17" s="6"/>
      <c r="I17" s="440">
        <f>IF(I14="800Ω ≤ RP ≤ 10kΩ",1,0)</f>
        <v>0</v>
      </c>
      <c r="J17" s="6"/>
    </row>
    <row r="18" spans="2:11" hidden="1" x14ac:dyDescent="0.35">
      <c r="B18" s="7" t="s">
        <v>654</v>
      </c>
      <c r="C18" s="442">
        <f>IF(C15&lt;3.3,0,IF(C15&lt;10,1,2))</f>
        <v>2</v>
      </c>
      <c r="D18" s="6"/>
      <c r="E18" s="442">
        <f>IF(E15&lt;3.3,0,IF(E15&lt;10,1,2))</f>
        <v>2</v>
      </c>
      <c r="F18" s="6"/>
      <c r="G18" s="442">
        <f>IF(G15&lt;3.3,0,IF(G15&lt;10,1,2))</f>
        <v>2</v>
      </c>
      <c r="H18" s="6"/>
      <c r="I18" s="442">
        <f>IF(I15&lt;3.3,0,IF(I15&lt;10,1,2))</f>
        <v>2</v>
      </c>
      <c r="J18" s="6"/>
    </row>
    <row r="19" spans="2:11" hidden="1" x14ac:dyDescent="0.35">
      <c r="B19" s="109" t="s">
        <v>655</v>
      </c>
      <c r="C19" s="81">
        <f>CEILING(LOG(C15*C16/4.096,2),1)</f>
        <v>3</v>
      </c>
      <c r="D19" s="6"/>
      <c r="E19" s="81">
        <f>CEILING(LOG(E15*E16/4.096,2),1)</f>
        <v>3</v>
      </c>
      <c r="F19" s="6"/>
      <c r="G19" s="81">
        <f>CEILING(LOG(G15*G16/4.096,2),1)</f>
        <v>3</v>
      </c>
      <c r="H19" s="6"/>
      <c r="I19" s="81">
        <f>CEILING(LOG(I15*I16/4.096,2),1)</f>
        <v>3</v>
      </c>
      <c r="J19" s="6"/>
    </row>
    <row r="20" spans="2:11" x14ac:dyDescent="0.35">
      <c r="B20" s="61" t="s">
        <v>655</v>
      </c>
      <c r="C20" s="495">
        <f>IF(C19&lt;0,0,ROUND(C19,1))</f>
        <v>3</v>
      </c>
      <c r="D20" s="6"/>
      <c r="E20" s="495">
        <f>IF(E19&lt;0,0,ROUND(E19,1))</f>
        <v>3</v>
      </c>
      <c r="F20" s="6"/>
      <c r="G20" s="495">
        <f>IF(G19&lt;0,0,ROUND(G19,1))</f>
        <v>3</v>
      </c>
      <c r="H20" s="6"/>
      <c r="I20" s="495">
        <f>IF(I19&lt;0,0,ROUND(I19,1))</f>
        <v>3</v>
      </c>
      <c r="J20" s="490" t="str">
        <f>IF(J21&lt;K21,"Error - Adjust Sample intervals to match LCDIV","")</f>
        <v/>
      </c>
    </row>
    <row r="21" spans="2:11" hidden="1" x14ac:dyDescent="0.35">
      <c r="B21" s="61" t="s">
        <v>850</v>
      </c>
      <c r="C21" s="569">
        <f>IF(C7,C20,)</f>
        <v>3</v>
      </c>
      <c r="D21" s="6"/>
      <c r="E21" s="569">
        <f>IF(E7,E20,FALSE)</f>
        <v>3</v>
      </c>
      <c r="F21" s="6"/>
      <c r="G21" s="569">
        <f>IF(G7,G20,"")</f>
        <v>3</v>
      </c>
      <c r="H21" s="6"/>
      <c r="I21" s="569">
        <f>IF(I7,I20,"")</f>
        <v>3</v>
      </c>
      <c r="J21" s="570">
        <f>MIN(C21,E21,G21,I21)</f>
        <v>3</v>
      </c>
      <c r="K21" s="571">
        <f>MAX(C21,E21,G21,I21)</f>
        <v>3</v>
      </c>
    </row>
    <row r="22" spans="2:11" hidden="1" x14ac:dyDescent="0.35">
      <c r="B22" s="109" t="s">
        <v>656</v>
      </c>
      <c r="C22" s="496">
        <f>C15*1000*C16*2^(-7-C19)-1</f>
        <v>16.578125</v>
      </c>
      <c r="D22" s="6"/>
      <c r="E22" s="496">
        <f>E15*1000*E16*2^(-7-E19)-1</f>
        <v>17.5546875</v>
      </c>
      <c r="F22" s="6"/>
      <c r="G22" s="496">
        <f>G15*1000*G16*2^(-7-G19)-1</f>
        <v>18.53125</v>
      </c>
      <c r="H22" s="6"/>
      <c r="I22" s="496">
        <f>I15*1000*I16*2^(-7-I19)-1</f>
        <v>19.5078125</v>
      </c>
      <c r="J22" s="6"/>
    </row>
    <row r="23" spans="2:11" x14ac:dyDescent="0.35">
      <c r="B23" s="10" t="s">
        <v>651</v>
      </c>
      <c r="C23" s="497">
        <f>IF(C22&lt;0,0,IF(C22&gt;31,31,ROUND(C22,0)))</f>
        <v>17</v>
      </c>
      <c r="D23" s="6"/>
      <c r="E23" s="497">
        <f>IF(E22&lt;0,0,IF(E22&gt;31,31,ROUND(E22,0)))</f>
        <v>18</v>
      </c>
      <c r="F23" s="6"/>
      <c r="G23" s="497">
        <f>IF(G22&lt;0,0,IF(G22&gt;31,31,ROUND(G22,0)))</f>
        <v>19</v>
      </c>
      <c r="H23" s="6"/>
      <c r="I23" s="497">
        <f>IF(I22&lt;0,0,IF(I22&gt;31,31,ROUND(I22,0)))</f>
        <v>20</v>
      </c>
      <c r="J23" s="6"/>
    </row>
    <row r="24" spans="2:11" x14ac:dyDescent="0.35">
      <c r="B24" s="61" t="s">
        <v>677</v>
      </c>
      <c r="C24" s="29">
        <f>0.6/C15+(2^(7+C20))*(C23+1)/E15/1000</f>
        <v>1.003438596491228</v>
      </c>
      <c r="D24" s="6" t="s">
        <v>242</v>
      </c>
      <c r="E24" s="29">
        <f>0.6/E15+(2^(7+E20))*(E23+1)/E15/1000</f>
        <v>1.0555789473684212</v>
      </c>
      <c r="F24" s="6" t="s">
        <v>242</v>
      </c>
      <c r="G24" s="29">
        <f>0.6/G15+(2^(7+G20))*(G23+1)/G15/1000</f>
        <v>1.054</v>
      </c>
      <c r="H24" s="6" t="s">
        <v>242</v>
      </c>
      <c r="I24" s="29">
        <f>0.6/I15+(2^(7+I20))*(I23+1)/I15/1000</f>
        <v>1.0525714285714285</v>
      </c>
      <c r="J24" s="6" t="s">
        <v>242</v>
      </c>
      <c r="K24" s="95" t="str">
        <f>IF(C34&lt;0,"The total active time exceeds the time available in the scan interval","")</f>
        <v/>
      </c>
    </row>
    <row r="25" spans="2:11" hidden="1" x14ac:dyDescent="0.35">
      <c r="B25" s="109" t="s">
        <v>652</v>
      </c>
      <c r="C25" s="444">
        <f>CEILING(LOG(30*(1+C23)*2^(14+C20)*47/C15,2),1)-28</f>
        <v>0</v>
      </c>
      <c r="D25" s="6"/>
      <c r="E25" s="444">
        <f>CEILING(LOG(30*(1+E23)*2^(14+E20)*47/E15,2),1)-28</f>
        <v>0</v>
      </c>
      <c r="F25" s="6"/>
      <c r="G25" s="444">
        <f>CEILING(LOG(30*(1+G23)*2^(14+G20)*47/G15,2),1)-28</f>
        <v>0</v>
      </c>
      <c r="H25" s="6"/>
      <c r="I25" s="444">
        <f>CEILING(LOG(30*(1+I23)*2^(14+I20)*47/I15,2),1)-28</f>
        <v>0</v>
      </c>
      <c r="J25" s="6"/>
    </row>
    <row r="26" spans="2:11" x14ac:dyDescent="0.35">
      <c r="B26" s="61" t="s">
        <v>652</v>
      </c>
      <c r="C26" s="498">
        <f>IF(C25&lt;0,0,IF(C25&gt;3,3,ROUND(C25,1)))</f>
        <v>0</v>
      </c>
      <c r="D26" s="6"/>
      <c r="E26" s="498">
        <f>IF(E25&lt;0,0,IF(E25&gt;3,3,ROUND(E25,1)))</f>
        <v>0</v>
      </c>
      <c r="F26" s="6"/>
      <c r="G26" s="498">
        <f>IF(G25&lt;0,0,IF(G25&gt;3,3,ROUND(G25,1)))</f>
        <v>0</v>
      </c>
      <c r="H26" s="6"/>
      <c r="I26" s="498">
        <f>IF(I25&lt;0,0,IF(I25&gt;3,3,ROUND(I25,1)))</f>
        <v>0</v>
      </c>
      <c r="J26" s="6"/>
    </row>
    <row r="27" spans="2:11" hidden="1" x14ac:dyDescent="0.35">
      <c r="B27" s="109" t="s">
        <v>763</v>
      </c>
      <c r="C27" s="491">
        <f xml:space="preserve"> 1.630124 + (13.25536 - 1.630124)/(1 + (C13/0.08957141)^1.210902)+(10.23*C15+19)/1000</f>
        <v>2.1325890068969775</v>
      </c>
      <c r="D27" s="492"/>
      <c r="E27" s="491">
        <f xml:space="preserve"> 1.630124 + (13.25536 - 1.630124)/(1 + (E13/0.08957141)^1.210902)+(10.23*E15+19)/1000</f>
        <v>2.1428190068969775</v>
      </c>
      <c r="F27" s="492"/>
      <c r="G27" s="491">
        <f xml:space="preserve"> 1.630124 + (13.25536 - 1.630124)/(1 + (G13/0.08957141)^1.210902)+(10.23*G15+19)/1000</f>
        <v>2.1530490068969774</v>
      </c>
      <c r="H27" s="492"/>
      <c r="I27" s="491">
        <f xml:space="preserve"> 1.630124 + (13.25536 - 1.630124)/(1 + (I13/0.08957141)^1.210902)+(10.23*I15+19)/1000</f>
        <v>2.1632790068969778</v>
      </c>
      <c r="J27" s="6"/>
    </row>
    <row r="28" spans="2:11" hidden="1" x14ac:dyDescent="0.35">
      <c r="B28" s="109" t="s">
        <v>768</v>
      </c>
      <c r="C28" s="491">
        <f>(C24+0.1)*C27</f>
        <v>2.353181020663023</v>
      </c>
      <c r="D28" s="492"/>
      <c r="E28" s="491">
        <f>E27*(E24+0.01)</f>
        <v>2.2833428217703271</v>
      </c>
      <c r="F28" s="492"/>
      <c r="G28" s="491">
        <f>(G24+0.01)*G27</f>
        <v>2.2908441433383842</v>
      </c>
      <c r="H28" s="492"/>
      <c r="I28" s="491">
        <f>(I24+0.01)*I27</f>
        <v>2.298638464757103</v>
      </c>
      <c r="J28" s="6"/>
    </row>
    <row r="29" spans="2:11" hidden="1" x14ac:dyDescent="0.35">
      <c r="B29" s="109" t="s">
        <v>769</v>
      </c>
      <c r="C29" s="491">
        <f>C28*C12</f>
        <v>2.353181020663023</v>
      </c>
      <c r="D29" s="492"/>
      <c r="E29" s="491">
        <f t="shared" ref="E29:I29" si="2">E28*E12</f>
        <v>0</v>
      </c>
      <c r="F29" s="492"/>
      <c r="G29" s="491">
        <f t="shared" si="2"/>
        <v>0</v>
      </c>
      <c r="H29" s="492"/>
      <c r="I29" s="491">
        <f t="shared" si="2"/>
        <v>0</v>
      </c>
      <c r="J29" s="6"/>
    </row>
    <row r="30" spans="2:11" hidden="1" x14ac:dyDescent="0.35">
      <c r="B30" s="109" t="s">
        <v>849</v>
      </c>
      <c r="C30" s="491">
        <f>C28*C10</f>
        <v>2.353181020663023</v>
      </c>
      <c r="D30" s="492"/>
      <c r="E30" s="491">
        <f t="shared" ref="E30:I30" si="3">E28*E10</f>
        <v>2.2833428217703271</v>
      </c>
      <c r="F30" s="492"/>
      <c r="G30" s="491">
        <f t="shared" si="3"/>
        <v>2.2908441433383842</v>
      </c>
      <c r="H30" s="492"/>
      <c r="I30" s="491">
        <f t="shared" si="3"/>
        <v>2.298638464757103</v>
      </c>
      <c r="J30" s="6"/>
    </row>
    <row r="31" spans="2:11" hidden="1" x14ac:dyDescent="0.35">
      <c r="B31" s="109" t="s">
        <v>764</v>
      </c>
      <c r="C31" s="491">
        <f>(1000/$C$37)-(C24*C12+E24*E12+G24*G12+I24*I12)</f>
        <v>798.99656140350874</v>
      </c>
      <c r="D31" s="492"/>
      <c r="E31" s="491"/>
      <c r="F31" s="492"/>
      <c r="G31" s="491"/>
      <c r="H31" s="492"/>
      <c r="I31" s="491"/>
      <c r="J31" s="6"/>
    </row>
    <row r="32" spans="2:11" hidden="1" x14ac:dyDescent="0.35">
      <c r="B32" s="109" t="s">
        <v>767</v>
      </c>
      <c r="C32" s="491">
        <f>C31*0.00483</f>
        <v>3.8591533915789471</v>
      </c>
      <c r="D32" s="492"/>
      <c r="E32" s="491"/>
      <c r="F32" s="492"/>
      <c r="G32" s="491"/>
      <c r="H32" s="492"/>
      <c r="I32" s="491"/>
      <c r="J32" s="6"/>
    </row>
    <row r="33" spans="2:11" hidden="1" x14ac:dyDescent="0.35">
      <c r="B33" s="109" t="s">
        <v>770</v>
      </c>
      <c r="C33" s="491">
        <f>C32+C29+E29+G29+I29</f>
        <v>6.2123344122419706</v>
      </c>
      <c r="D33" s="492"/>
      <c r="E33" s="491"/>
      <c r="F33" s="492"/>
      <c r="G33" s="491"/>
      <c r="H33" s="492"/>
      <c r="I33" s="491"/>
      <c r="J33" s="6"/>
    </row>
    <row r="34" spans="2:11" hidden="1" x14ac:dyDescent="0.35">
      <c r="B34" s="109" t="s">
        <v>765</v>
      </c>
      <c r="C34" s="491">
        <f>(1000/$C$40)-(C24*C10+E24*E10+G24*G10+I24*I10)</f>
        <v>45.834411027568919</v>
      </c>
      <c r="D34" s="492"/>
      <c r="E34" s="491"/>
      <c r="F34" s="492"/>
      <c r="G34" s="491"/>
      <c r="H34" s="492"/>
      <c r="I34" s="491"/>
      <c r="J34" s="6"/>
    </row>
    <row r="35" spans="2:11" hidden="1" x14ac:dyDescent="0.35">
      <c r="B35" s="109" t="s">
        <v>766</v>
      </c>
      <c r="C35" s="491">
        <f>0.00483*C34</f>
        <v>0.22138020526315788</v>
      </c>
      <c r="D35" s="492"/>
      <c r="E35" s="491"/>
      <c r="F35" s="492"/>
      <c r="G35" s="491"/>
      <c r="H35" s="492"/>
      <c r="I35" s="491"/>
      <c r="J35" s="6"/>
    </row>
    <row r="36" spans="2:11" hidden="1" x14ac:dyDescent="0.35">
      <c r="B36" s="109" t="s">
        <v>771</v>
      </c>
      <c r="C36" s="88">
        <f>C35+C30+E30+G30+I30</f>
        <v>9.4473866557919948</v>
      </c>
      <c r="D36" s="6"/>
      <c r="F36" s="60"/>
      <c r="H36" s="13"/>
    </row>
    <row r="37" spans="2:11" x14ac:dyDescent="0.35">
      <c r="B37" s="61" t="s">
        <v>662</v>
      </c>
      <c r="C37" s="47">
        <v>1.25</v>
      </c>
      <c r="D37" s="9" t="s">
        <v>661</v>
      </c>
      <c r="F37" s="60"/>
      <c r="G37" s="10"/>
      <c r="H37" s="60"/>
      <c r="I37" s="10"/>
    </row>
    <row r="38" spans="2:11" hidden="1" x14ac:dyDescent="0.35">
      <c r="B38" s="109" t="s">
        <v>674</v>
      </c>
      <c r="C38" s="134">
        <f>8*I12+4*G12+2*E12+C12</f>
        <v>1</v>
      </c>
      <c r="D38" s="9"/>
      <c r="F38" s="109"/>
      <c r="G38" s="109"/>
      <c r="H38" s="109"/>
      <c r="I38" s="109"/>
      <c r="J38" s="488"/>
      <c r="K38" s="14"/>
    </row>
    <row r="39" spans="2:11" hidden="1" x14ac:dyDescent="0.35">
      <c r="B39" s="109" t="s">
        <v>667</v>
      </c>
      <c r="C39" s="83">
        <f>C10+E10+G10+I10</f>
        <v>4</v>
      </c>
      <c r="D39" s="9"/>
      <c r="F39" s="487"/>
      <c r="G39" s="487"/>
      <c r="H39" s="487"/>
      <c r="I39" s="487"/>
      <c r="J39" s="489"/>
      <c r="K39" s="14"/>
    </row>
    <row r="40" spans="2:11" x14ac:dyDescent="0.35">
      <c r="B40" s="10" t="s">
        <v>660</v>
      </c>
      <c r="C40" s="47">
        <v>20</v>
      </c>
      <c r="D40" s="9" t="s">
        <v>661</v>
      </c>
      <c r="F40" s="27"/>
      <c r="G40" s="27"/>
      <c r="H40" s="27"/>
      <c r="I40" s="27"/>
      <c r="J40" s="14"/>
      <c r="K40" s="14"/>
    </row>
    <row r="41" spans="2:11" hidden="1" x14ac:dyDescent="0.35">
      <c r="B41" s="7" t="s">
        <v>675</v>
      </c>
      <c r="C41" s="134">
        <f>8*I10+4*G10+2*E10+C10</f>
        <v>15</v>
      </c>
      <c r="D41" s="9"/>
      <c r="F41" s="27"/>
      <c r="G41" s="27"/>
      <c r="H41" s="27"/>
      <c r="I41" s="27"/>
      <c r="J41" s="14"/>
      <c r="K41" s="14"/>
    </row>
    <row r="42" spans="2:11" hidden="1" x14ac:dyDescent="0.35">
      <c r="B42" s="109" t="s">
        <v>668</v>
      </c>
      <c r="C42" s="83">
        <f>C12+E12+G12+I12</f>
        <v>1</v>
      </c>
      <c r="F42" s="487"/>
      <c r="G42" s="487"/>
      <c r="H42" s="487"/>
      <c r="I42" s="487"/>
      <c r="J42" s="14"/>
      <c r="K42" s="14"/>
    </row>
    <row r="43" spans="2:11" hidden="1" x14ac:dyDescent="0.35">
      <c r="B43" s="61"/>
      <c r="C43" s="450"/>
      <c r="F43" s="27"/>
      <c r="G43" s="27"/>
      <c r="H43" s="27"/>
      <c r="I43" s="27"/>
    </row>
    <row r="44" spans="2:11" x14ac:dyDescent="0.35">
      <c r="B44" s="61" t="s">
        <v>664</v>
      </c>
      <c r="C44" s="449">
        <f>C33*C37</f>
        <v>7.7654180153024637</v>
      </c>
      <c r="D44" s="20" t="s">
        <v>666</v>
      </c>
    </row>
    <row r="45" spans="2:11" x14ac:dyDescent="0.35">
      <c r="B45" s="61" t="s">
        <v>665</v>
      </c>
      <c r="C45" s="37">
        <f>C36*C40</f>
        <v>188.9477331158399</v>
      </c>
      <c r="D45" s="20" t="s">
        <v>666</v>
      </c>
    </row>
    <row r="47" spans="2:11" x14ac:dyDescent="0.35">
      <c r="B47" s="445" t="s">
        <v>663</v>
      </c>
    </row>
    <row r="48" spans="2:11" x14ac:dyDescent="0.35">
      <c r="B48" s="10" t="s">
        <v>670</v>
      </c>
      <c r="C48" s="441" t="str">
        <f>"0x" &amp; DEC2HEX((C41+C38*16),2)</f>
        <v>0x1F</v>
      </c>
    </row>
    <row r="49" spans="2:9" x14ac:dyDescent="0.35">
      <c r="B49" s="10" t="s">
        <v>669</v>
      </c>
      <c r="C49" s="441" t="str">
        <f>"0x" &amp; DEC2HEX(3-LOG((C40/10),2),2)</f>
        <v>0x02</v>
      </c>
    </row>
    <row r="50" spans="2:9" x14ac:dyDescent="0.35">
      <c r="B50" s="10" t="s">
        <v>671</v>
      </c>
      <c r="C50" s="441" t="str">
        <f>"0x" &amp; DEC2HEX(3-LOG((C37/0.625),2),2)</f>
        <v>0x02</v>
      </c>
    </row>
    <row r="51" spans="2:9" x14ac:dyDescent="0.35">
      <c r="B51" s="10" t="s">
        <v>672</v>
      </c>
      <c r="C51" s="441" t="str">
        <f>"0x" &amp; DEC2HEX(C20,2)</f>
        <v>0x03</v>
      </c>
    </row>
    <row r="52" spans="2:9" x14ac:dyDescent="0.35">
      <c r="B52" s="10" t="s">
        <v>673</v>
      </c>
      <c r="C52" s="441" t="str">
        <f>"0x"&amp;DEC2HEX(I26*2^6+G26*2^4+E26*2^2+C26,2)</f>
        <v>0x00</v>
      </c>
    </row>
    <row r="53" spans="2:9" hidden="1" x14ac:dyDescent="0.35">
      <c r="B53" s="7" t="s">
        <v>772</v>
      </c>
      <c r="C53" s="443">
        <f>C17*128+32*C18+C23</f>
        <v>81</v>
      </c>
      <c r="D53" s="443"/>
      <c r="E53" s="443">
        <f t="shared" ref="E53:I53" si="4">E17*128+32*E18+E23</f>
        <v>82</v>
      </c>
      <c r="F53" s="443"/>
      <c r="G53" s="443">
        <f t="shared" si="4"/>
        <v>83</v>
      </c>
      <c r="H53" s="443"/>
      <c r="I53" s="443">
        <f t="shared" si="4"/>
        <v>84</v>
      </c>
    </row>
    <row r="54" spans="2:9" x14ac:dyDescent="0.35">
      <c r="B54" s="10" t="s">
        <v>758</v>
      </c>
      <c r="C54" s="441" t="str">
        <f>"0x" &amp; DEC2HEX(C53)</f>
        <v>0x51</v>
      </c>
    </row>
    <row r="55" spans="2:9" x14ac:dyDescent="0.35">
      <c r="B55" s="10" t="s">
        <v>759</v>
      </c>
      <c r="C55" s="441" t="str">
        <f>"0x" &amp; DEC2HEX(E53)</f>
        <v>0x52</v>
      </c>
    </row>
    <row r="56" spans="2:9" x14ac:dyDescent="0.35">
      <c r="B56" s="10" t="s">
        <v>760</v>
      </c>
      <c r="C56" s="441" t="str">
        <f>"0x" &amp; DEC2HEX(G53)</f>
        <v>0x53</v>
      </c>
      <c r="D56" s="405"/>
      <c r="E56" s="405"/>
    </row>
    <row r="57" spans="2:9" x14ac:dyDescent="0.35">
      <c r="B57" s="10" t="s">
        <v>757</v>
      </c>
      <c r="C57" s="441" t="str">
        <f>"0x" &amp; DEC2HEX(I53)</f>
        <v>0x54</v>
      </c>
      <c r="D57" s="405"/>
      <c r="E57" s="405"/>
    </row>
    <row r="58" spans="2:9" x14ac:dyDescent="0.35">
      <c r="B58" s="451"/>
      <c r="C58" s="405"/>
      <c r="D58" s="405"/>
      <c r="E58" s="405"/>
    </row>
    <row r="59" spans="2:9" ht="15.5" x14ac:dyDescent="0.35">
      <c r="B59" s="308" t="s">
        <v>298</v>
      </c>
      <c r="C59" s="2"/>
      <c r="D59" s="2"/>
      <c r="E59" s="405"/>
    </row>
    <row r="60" spans="2:9" x14ac:dyDescent="0.35">
      <c r="B60" s="313" t="s">
        <v>81</v>
      </c>
      <c r="C60" s="184">
        <v>3</v>
      </c>
      <c r="D60" s="314" t="s">
        <v>109</v>
      </c>
      <c r="E60" s="405"/>
    </row>
    <row r="61" spans="2:9" x14ac:dyDescent="0.35">
      <c r="B61" s="313" t="s">
        <v>26</v>
      </c>
      <c r="C61" s="184">
        <v>100</v>
      </c>
      <c r="D61" s="203" t="s">
        <v>27</v>
      </c>
      <c r="E61" s="405"/>
    </row>
    <row r="62" spans="2:9" x14ac:dyDescent="0.35">
      <c r="B62" s="313" t="str">
        <f>IF(B63="Rp","Rs","Rp")</f>
        <v>Rs</v>
      </c>
      <c r="C62" s="184">
        <v>5</v>
      </c>
      <c r="D62" s="314" t="str">
        <f>IF(B63="Rp","Ω","kΩ")</f>
        <v>Ω</v>
      </c>
      <c r="E62" s="405"/>
    </row>
    <row r="63" spans="2:9" x14ac:dyDescent="0.35">
      <c r="B63" s="307" t="s">
        <v>93</v>
      </c>
      <c r="C63" s="315">
        <f>1000/C62*C60/C61</f>
        <v>6</v>
      </c>
      <c r="D63" s="203" t="str">
        <f>IF(B63="Rp","kΩ","Ω")</f>
        <v>kΩ</v>
      </c>
      <c r="E63" s="405"/>
    </row>
    <row r="64" spans="2:9" x14ac:dyDescent="0.35">
      <c r="B64" s="313" t="s">
        <v>241</v>
      </c>
      <c r="C64" s="202">
        <f>(0.000001/(2*PI()*SQRT(C60*0.000001*C61*0.000000000001)))</f>
        <v>9.1888149236965333</v>
      </c>
      <c r="D64" s="203" t="s">
        <v>0</v>
      </c>
      <c r="E64" s="405"/>
    </row>
    <row r="65" spans="2:21" x14ac:dyDescent="0.35">
      <c r="B65" s="313" t="s">
        <v>95</v>
      </c>
      <c r="C65" s="204">
        <f>IF(B63="Rs",(1000/C63)*SQRT(C60/C61),(1000/C62)*SQRT(C60/C61))</f>
        <v>34.641016151377549</v>
      </c>
      <c r="D65" s="316"/>
    </row>
    <row r="69" spans="2:21" hidden="1" x14ac:dyDescent="0.35">
      <c r="B69" s="10" t="s">
        <v>781</v>
      </c>
      <c r="C69" s="10" t="s">
        <v>782</v>
      </c>
      <c r="D69" s="10"/>
      <c r="E69" s="10" t="s">
        <v>783</v>
      </c>
      <c r="F69" s="10" t="s">
        <v>784</v>
      </c>
      <c r="G69" s="10" t="s">
        <v>785</v>
      </c>
      <c r="H69" s="10" t="s">
        <v>786</v>
      </c>
      <c r="I69" s="10" t="s">
        <v>787</v>
      </c>
      <c r="J69" s="10" t="s">
        <v>788</v>
      </c>
      <c r="K69" s="10" t="s">
        <v>789</v>
      </c>
      <c r="L69" s="10" t="s">
        <v>790</v>
      </c>
      <c r="M69" s="10" t="s">
        <v>791</v>
      </c>
      <c r="N69" s="10" t="s">
        <v>792</v>
      </c>
      <c r="O69" s="10" t="s">
        <v>796</v>
      </c>
      <c r="P69" s="10" t="s">
        <v>793</v>
      </c>
      <c r="Q69" s="10" t="s">
        <v>797</v>
      </c>
      <c r="R69" s="10" t="s">
        <v>794</v>
      </c>
      <c r="S69" s="10" t="s">
        <v>798</v>
      </c>
      <c r="T69" s="10" t="s">
        <v>795</v>
      </c>
      <c r="U69" s="10" t="s">
        <v>799</v>
      </c>
    </row>
    <row r="70" spans="2:21" hidden="1" x14ac:dyDescent="0.35">
      <c r="B70">
        <v>1</v>
      </c>
      <c r="C70">
        <v>30</v>
      </c>
      <c r="E70">
        <v>0.01</v>
      </c>
      <c r="F70">
        <v>30</v>
      </c>
      <c r="G70">
        <v>30</v>
      </c>
      <c r="H70">
        <v>30</v>
      </c>
      <c r="I70">
        <v>30</v>
      </c>
      <c r="J70">
        <v>30</v>
      </c>
      <c r="K70">
        <v>30</v>
      </c>
      <c r="L70">
        <v>30</v>
      </c>
      <c r="M70">
        <v>30</v>
      </c>
      <c r="N70" s="513">
        <f>C24</f>
        <v>1.003438596491228</v>
      </c>
      <c r="O70" s="512">
        <f>IF(C7=TRUE(),C15,-100)</f>
        <v>18</v>
      </c>
      <c r="P70" s="513">
        <f>E24</f>
        <v>1.0555789473684212</v>
      </c>
      <c r="Q70" s="512">
        <f>IF(E7=TRUE(),E15,-100)</f>
        <v>19</v>
      </c>
      <c r="R70" s="513">
        <f>IF(G7=TRUE(),G24,-100)</f>
        <v>1.054</v>
      </c>
      <c r="S70" s="512">
        <f>G15</f>
        <v>20</v>
      </c>
      <c r="T70" s="513">
        <f>I16</f>
        <v>1</v>
      </c>
      <c r="U70" s="512">
        <f>IF(I7=TRUE(),I15,-100)</f>
        <v>21</v>
      </c>
    </row>
    <row r="71" spans="2:21" hidden="1" x14ac:dyDescent="0.35">
      <c r="B71">
        <v>1</v>
      </c>
      <c r="C71">
        <v>30</v>
      </c>
      <c r="E71">
        <v>0.1</v>
      </c>
      <c r="F71">
        <v>30</v>
      </c>
      <c r="G71">
        <v>30</v>
      </c>
      <c r="H71">
        <v>30</v>
      </c>
      <c r="I71">
        <v>30</v>
      </c>
      <c r="J71">
        <v>30</v>
      </c>
      <c r="K71">
        <v>30</v>
      </c>
      <c r="L71">
        <v>30</v>
      </c>
      <c r="M71">
        <v>30</v>
      </c>
      <c r="N71">
        <f>N70*1.001</f>
        <v>1.0044420350877192</v>
      </c>
      <c r="O71" s="512">
        <f>IF(C7=TRUE(),0.9999*C15,-100)</f>
        <v>17.998200000000001</v>
      </c>
      <c r="P71">
        <f t="shared" ref="P71:U71" si="5">P70*1.001</f>
        <v>1.0566345263157895</v>
      </c>
      <c r="Q71">
        <f>IF(E7=TRUE(),E15,-100)</f>
        <v>19</v>
      </c>
      <c r="R71">
        <f t="shared" si="5"/>
        <v>1.0550539999999999</v>
      </c>
      <c r="S71">
        <f t="shared" si="5"/>
        <v>20.019999999999996</v>
      </c>
      <c r="T71">
        <f t="shared" si="5"/>
        <v>1.0009999999999999</v>
      </c>
      <c r="U71">
        <f t="shared" si="5"/>
        <v>21.020999999999997</v>
      </c>
    </row>
    <row r="72" spans="2:21" hidden="1" x14ac:dyDescent="0.35">
      <c r="B72">
        <v>1</v>
      </c>
      <c r="C72">
        <v>30</v>
      </c>
      <c r="E72">
        <v>0.25</v>
      </c>
      <c r="F72">
        <v>16.384</v>
      </c>
      <c r="G72">
        <v>30</v>
      </c>
      <c r="H72">
        <v>30</v>
      </c>
      <c r="I72">
        <v>30</v>
      </c>
      <c r="J72">
        <v>30</v>
      </c>
      <c r="K72">
        <v>30</v>
      </c>
      <c r="L72">
        <v>30</v>
      </c>
      <c r="M72">
        <v>30</v>
      </c>
    </row>
    <row r="73" spans="2:21" hidden="1" x14ac:dyDescent="0.35">
      <c r="B73">
        <v>1</v>
      </c>
      <c r="C73">
        <v>30</v>
      </c>
      <c r="E73">
        <v>0.5</v>
      </c>
      <c r="F73">
        <v>8.1920000000000002</v>
      </c>
      <c r="G73">
        <v>16.384</v>
      </c>
      <c r="H73">
        <v>30</v>
      </c>
      <c r="I73">
        <v>30</v>
      </c>
      <c r="J73">
        <v>30</v>
      </c>
      <c r="K73">
        <v>30</v>
      </c>
      <c r="L73">
        <v>30</v>
      </c>
      <c r="M73">
        <v>30</v>
      </c>
    </row>
    <row r="74" spans="2:21" hidden="1" x14ac:dyDescent="0.35">
      <c r="B74">
        <v>1</v>
      </c>
      <c r="C74">
        <v>30</v>
      </c>
      <c r="E74">
        <v>0.75</v>
      </c>
      <c r="F74">
        <v>5.4613333333333332</v>
      </c>
      <c r="G74">
        <v>10.922666666666666</v>
      </c>
      <c r="H74">
        <v>21.845333333333333</v>
      </c>
      <c r="I74">
        <v>30</v>
      </c>
      <c r="J74">
        <v>30</v>
      </c>
      <c r="K74">
        <v>30</v>
      </c>
      <c r="L74">
        <v>30</v>
      </c>
      <c r="M74">
        <v>30</v>
      </c>
    </row>
    <row r="75" spans="2:21" hidden="1" x14ac:dyDescent="0.35">
      <c r="B75">
        <v>1</v>
      </c>
      <c r="C75">
        <v>30</v>
      </c>
      <c r="E75">
        <v>1</v>
      </c>
      <c r="F75">
        <v>4.0960000000000001</v>
      </c>
      <c r="G75">
        <v>8.1920000000000002</v>
      </c>
      <c r="H75">
        <v>16.384</v>
      </c>
      <c r="I75">
        <v>30</v>
      </c>
      <c r="J75">
        <v>30</v>
      </c>
      <c r="K75">
        <v>30</v>
      </c>
      <c r="L75">
        <v>30</v>
      </c>
      <c r="M75">
        <v>30</v>
      </c>
    </row>
    <row r="76" spans="2:21" hidden="1" x14ac:dyDescent="0.35">
      <c r="B76">
        <v>1</v>
      </c>
      <c r="C76">
        <v>30</v>
      </c>
      <c r="E76">
        <v>1.25</v>
      </c>
      <c r="F76">
        <v>3.2767999999999997</v>
      </c>
      <c r="G76">
        <v>6.5535999999999994</v>
      </c>
      <c r="H76">
        <v>13.107199999999999</v>
      </c>
      <c r="I76">
        <v>26.214399999999998</v>
      </c>
      <c r="J76">
        <v>30</v>
      </c>
      <c r="K76">
        <v>30</v>
      </c>
      <c r="L76">
        <v>30</v>
      </c>
      <c r="M76">
        <v>30</v>
      </c>
    </row>
    <row r="77" spans="2:21" hidden="1" x14ac:dyDescent="0.35">
      <c r="B77">
        <v>1</v>
      </c>
      <c r="C77">
        <v>30</v>
      </c>
      <c r="E77">
        <v>1.5</v>
      </c>
      <c r="F77">
        <v>2.7306666666666666</v>
      </c>
      <c r="G77">
        <v>5.4613333333333332</v>
      </c>
      <c r="H77">
        <v>10.922666666666666</v>
      </c>
      <c r="I77">
        <v>21.845333333333333</v>
      </c>
      <c r="J77">
        <v>30</v>
      </c>
      <c r="K77">
        <v>30</v>
      </c>
      <c r="L77">
        <v>30</v>
      </c>
      <c r="M77">
        <v>30</v>
      </c>
    </row>
    <row r="78" spans="2:21" hidden="1" x14ac:dyDescent="0.35">
      <c r="B78">
        <v>1</v>
      </c>
      <c r="C78">
        <v>30</v>
      </c>
      <c r="E78">
        <v>1.75</v>
      </c>
      <c r="F78">
        <v>2.3405714285714283</v>
      </c>
      <c r="G78">
        <v>4.6811428571428566</v>
      </c>
      <c r="H78">
        <v>9.3622857142857132</v>
      </c>
      <c r="I78">
        <v>18.724571428571426</v>
      </c>
      <c r="J78">
        <v>30</v>
      </c>
      <c r="K78">
        <v>30</v>
      </c>
      <c r="L78">
        <v>30</v>
      </c>
      <c r="M78">
        <v>30</v>
      </c>
    </row>
    <row r="79" spans="2:21" hidden="1" x14ac:dyDescent="0.35">
      <c r="B79">
        <v>1</v>
      </c>
      <c r="C79">
        <v>30</v>
      </c>
      <c r="E79">
        <v>2.1</v>
      </c>
      <c r="F79">
        <v>1.95047619047619</v>
      </c>
      <c r="G79">
        <v>3.9009523809523801</v>
      </c>
      <c r="H79">
        <v>7.8019047619047601</v>
      </c>
      <c r="I79">
        <v>15.60380952380952</v>
      </c>
      <c r="J79">
        <v>30</v>
      </c>
      <c r="K79">
        <v>30</v>
      </c>
      <c r="L79">
        <v>30</v>
      </c>
      <c r="M79">
        <v>30</v>
      </c>
    </row>
    <row r="80" spans="2:21" hidden="1" x14ac:dyDescent="0.35">
      <c r="B80">
        <v>1</v>
      </c>
      <c r="C80">
        <v>30</v>
      </c>
      <c r="E80">
        <v>2.5</v>
      </c>
      <c r="F80">
        <v>1.6383999999999999</v>
      </c>
      <c r="G80">
        <v>3.2767999999999997</v>
      </c>
      <c r="H80">
        <v>6.5535999999999994</v>
      </c>
      <c r="I80">
        <v>13.107199999999999</v>
      </c>
      <c r="J80">
        <v>26.214399999999998</v>
      </c>
      <c r="K80">
        <v>30</v>
      </c>
      <c r="L80">
        <v>30</v>
      </c>
      <c r="M80">
        <v>30</v>
      </c>
    </row>
    <row r="81" spans="2:13" hidden="1" x14ac:dyDescent="0.35">
      <c r="B81">
        <v>1</v>
      </c>
      <c r="C81">
        <v>30</v>
      </c>
      <c r="E81">
        <v>2.75</v>
      </c>
      <c r="F81">
        <v>1.4894545454545454</v>
      </c>
      <c r="G81">
        <v>2.9789090909090907</v>
      </c>
      <c r="H81">
        <v>5.9578181818181815</v>
      </c>
      <c r="I81">
        <v>11.915636363636363</v>
      </c>
      <c r="J81">
        <v>23.831272727272726</v>
      </c>
      <c r="K81">
        <v>30</v>
      </c>
      <c r="L81">
        <v>30</v>
      </c>
      <c r="M81">
        <v>30</v>
      </c>
    </row>
    <row r="82" spans="2:13" hidden="1" x14ac:dyDescent="0.35">
      <c r="B82">
        <v>1</v>
      </c>
      <c r="C82">
        <v>30</v>
      </c>
      <c r="E82">
        <v>3</v>
      </c>
      <c r="F82">
        <v>1.3653333333333333</v>
      </c>
      <c r="G82">
        <v>2.7306666666666666</v>
      </c>
      <c r="H82">
        <v>5.4613333333333332</v>
      </c>
      <c r="I82">
        <v>10.922666666666666</v>
      </c>
      <c r="J82">
        <v>21.845333333333333</v>
      </c>
      <c r="K82">
        <v>30</v>
      </c>
      <c r="L82">
        <v>30</v>
      </c>
      <c r="M82">
        <v>30</v>
      </c>
    </row>
    <row r="83" spans="2:13" hidden="1" x14ac:dyDescent="0.35">
      <c r="B83">
        <v>1</v>
      </c>
      <c r="C83">
        <v>30</v>
      </c>
      <c r="E83">
        <v>3.25</v>
      </c>
      <c r="F83">
        <v>1.2603076923076924</v>
      </c>
      <c r="G83">
        <v>2.5206153846153847</v>
      </c>
      <c r="H83">
        <v>5.0412307692307694</v>
      </c>
      <c r="I83">
        <v>10.082461538461539</v>
      </c>
      <c r="J83">
        <v>20.164923076923078</v>
      </c>
      <c r="K83">
        <v>30</v>
      </c>
      <c r="L83">
        <v>30</v>
      </c>
      <c r="M83">
        <v>30</v>
      </c>
    </row>
    <row r="84" spans="2:13" hidden="1" x14ac:dyDescent="0.35">
      <c r="B84">
        <v>1</v>
      </c>
      <c r="C84">
        <v>30</v>
      </c>
      <c r="E84">
        <v>3.5</v>
      </c>
      <c r="F84">
        <v>1.1702857142857142</v>
      </c>
      <c r="G84">
        <v>2.3405714285714283</v>
      </c>
      <c r="H84">
        <v>4.6811428571428566</v>
      </c>
      <c r="I84">
        <v>9.3622857142857132</v>
      </c>
      <c r="J84">
        <v>18.724571428571426</v>
      </c>
      <c r="K84">
        <v>30</v>
      </c>
      <c r="L84">
        <v>30</v>
      </c>
      <c r="M84">
        <v>30</v>
      </c>
    </row>
    <row r="85" spans="2:13" hidden="1" x14ac:dyDescent="0.35">
      <c r="B85">
        <v>1</v>
      </c>
      <c r="C85">
        <v>30</v>
      </c>
      <c r="E85">
        <v>3.75</v>
      </c>
      <c r="F85">
        <v>1.0922666666666667</v>
      </c>
      <c r="G85">
        <v>2.1845333333333334</v>
      </c>
      <c r="H85">
        <v>4.3690666666666669</v>
      </c>
      <c r="I85">
        <v>8.7381333333333338</v>
      </c>
      <c r="J85">
        <v>17.476266666666668</v>
      </c>
      <c r="K85">
        <v>30</v>
      </c>
      <c r="L85">
        <v>30</v>
      </c>
      <c r="M85">
        <v>30</v>
      </c>
    </row>
    <row r="86" spans="2:13" hidden="1" x14ac:dyDescent="0.35">
      <c r="B86">
        <v>1</v>
      </c>
      <c r="C86">
        <v>30</v>
      </c>
      <c r="E86">
        <v>4</v>
      </c>
      <c r="F86">
        <v>1.024</v>
      </c>
      <c r="G86">
        <v>2.048</v>
      </c>
      <c r="H86">
        <v>4.0960000000000001</v>
      </c>
      <c r="I86">
        <v>8.1920000000000002</v>
      </c>
      <c r="J86">
        <v>16.384</v>
      </c>
      <c r="K86">
        <v>30</v>
      </c>
      <c r="L86">
        <v>30</v>
      </c>
      <c r="M86">
        <v>30</v>
      </c>
    </row>
    <row r="87" spans="2:13" hidden="1" x14ac:dyDescent="0.35">
      <c r="B87">
        <v>1</v>
      </c>
      <c r="C87">
        <v>30</v>
      </c>
      <c r="E87">
        <v>4.33</v>
      </c>
      <c r="F87">
        <v>1</v>
      </c>
      <c r="G87">
        <v>1.8919168591224018</v>
      </c>
      <c r="H87">
        <v>3.7838337182448036</v>
      </c>
      <c r="I87">
        <v>7.5676674364896073</v>
      </c>
      <c r="J87">
        <v>15.135334872979215</v>
      </c>
      <c r="K87">
        <v>30</v>
      </c>
      <c r="L87">
        <v>30</v>
      </c>
      <c r="M87">
        <v>30</v>
      </c>
    </row>
    <row r="88" spans="2:13" hidden="1" x14ac:dyDescent="0.35">
      <c r="B88">
        <v>1</v>
      </c>
      <c r="C88">
        <v>30</v>
      </c>
      <c r="E88">
        <v>4.5</v>
      </c>
      <c r="F88">
        <v>1</v>
      </c>
      <c r="G88">
        <v>1.8204444444444445</v>
      </c>
      <c r="H88">
        <v>3.6408888888888891</v>
      </c>
      <c r="I88">
        <v>7.2817777777777781</v>
      </c>
      <c r="J88">
        <v>14.563555555555556</v>
      </c>
      <c r="K88">
        <v>29.127111111111113</v>
      </c>
      <c r="L88">
        <v>30</v>
      </c>
      <c r="M88">
        <v>30</v>
      </c>
    </row>
    <row r="89" spans="2:13" hidden="1" x14ac:dyDescent="0.35">
      <c r="B89">
        <v>1</v>
      </c>
      <c r="C89">
        <v>30</v>
      </c>
      <c r="E89">
        <v>4.75</v>
      </c>
      <c r="F89">
        <v>1</v>
      </c>
      <c r="G89">
        <v>1.7246315789473683</v>
      </c>
      <c r="H89">
        <v>3.4492631578947366</v>
      </c>
      <c r="I89">
        <v>6.8985263157894732</v>
      </c>
      <c r="J89">
        <v>13.797052631578946</v>
      </c>
      <c r="K89">
        <v>27.594105263157893</v>
      </c>
      <c r="L89">
        <v>30</v>
      </c>
      <c r="M89">
        <v>30</v>
      </c>
    </row>
    <row r="90" spans="2:13" hidden="1" x14ac:dyDescent="0.35">
      <c r="B90">
        <v>1</v>
      </c>
      <c r="C90">
        <v>30</v>
      </c>
      <c r="E90">
        <v>5</v>
      </c>
      <c r="F90">
        <v>1</v>
      </c>
      <c r="G90">
        <v>1.6383999999999999</v>
      </c>
      <c r="H90">
        <v>3.2767999999999997</v>
      </c>
      <c r="I90">
        <v>6.5535999999999994</v>
      </c>
      <c r="J90">
        <v>13.107199999999999</v>
      </c>
      <c r="K90">
        <v>26.214399999999998</v>
      </c>
      <c r="L90">
        <v>30</v>
      </c>
      <c r="M90">
        <v>30</v>
      </c>
    </row>
    <row r="91" spans="2:13" hidden="1" x14ac:dyDescent="0.35">
      <c r="B91">
        <v>1</v>
      </c>
      <c r="C91">
        <v>30</v>
      </c>
      <c r="E91">
        <v>5.25</v>
      </c>
      <c r="F91">
        <v>1</v>
      </c>
      <c r="G91">
        <v>1.5603809523809522</v>
      </c>
      <c r="H91">
        <v>3.1207619047619044</v>
      </c>
      <c r="I91">
        <v>6.2415238095238088</v>
      </c>
      <c r="J91">
        <v>12.483047619047618</v>
      </c>
      <c r="K91">
        <v>24.966095238095235</v>
      </c>
      <c r="L91">
        <v>30</v>
      </c>
      <c r="M91">
        <v>30</v>
      </c>
    </row>
    <row r="92" spans="2:13" hidden="1" x14ac:dyDescent="0.35">
      <c r="B92">
        <v>1</v>
      </c>
      <c r="C92">
        <v>30</v>
      </c>
      <c r="E92">
        <v>5.5</v>
      </c>
      <c r="F92">
        <v>1</v>
      </c>
      <c r="G92">
        <v>1.4894545454545454</v>
      </c>
      <c r="H92">
        <v>2.9789090909090907</v>
      </c>
      <c r="I92">
        <v>5.9578181818181815</v>
      </c>
      <c r="J92">
        <v>11.915636363636363</v>
      </c>
      <c r="K92">
        <v>23.831272727272726</v>
      </c>
      <c r="L92">
        <v>30</v>
      </c>
      <c r="M92">
        <v>30</v>
      </c>
    </row>
    <row r="93" spans="2:13" hidden="1" x14ac:dyDescent="0.35">
      <c r="B93">
        <v>1</v>
      </c>
      <c r="C93">
        <v>30</v>
      </c>
      <c r="E93">
        <v>5.75</v>
      </c>
      <c r="F93">
        <v>1</v>
      </c>
      <c r="G93">
        <v>1.4246956521739129</v>
      </c>
      <c r="H93">
        <v>2.8493913043478258</v>
      </c>
      <c r="I93">
        <v>5.6987826086956517</v>
      </c>
      <c r="J93">
        <v>11.397565217391303</v>
      </c>
      <c r="K93">
        <v>22.795130434782607</v>
      </c>
      <c r="L93">
        <v>30</v>
      </c>
      <c r="M93">
        <v>30</v>
      </c>
    </row>
    <row r="94" spans="2:13" hidden="1" x14ac:dyDescent="0.35">
      <c r="B94">
        <v>1</v>
      </c>
      <c r="C94">
        <v>30</v>
      </c>
      <c r="E94">
        <v>6</v>
      </c>
      <c r="F94">
        <v>1</v>
      </c>
      <c r="G94">
        <v>1.3653333333333333</v>
      </c>
      <c r="H94">
        <v>2.7306666666666666</v>
      </c>
      <c r="I94">
        <v>5.4613333333333332</v>
      </c>
      <c r="J94">
        <v>10.922666666666666</v>
      </c>
      <c r="K94">
        <v>21.845333333333333</v>
      </c>
      <c r="L94">
        <v>30</v>
      </c>
      <c r="M94">
        <v>30</v>
      </c>
    </row>
    <row r="95" spans="2:13" hidden="1" x14ac:dyDescent="0.35">
      <c r="B95">
        <v>1</v>
      </c>
      <c r="C95">
        <v>30</v>
      </c>
      <c r="E95">
        <v>6.25</v>
      </c>
      <c r="F95">
        <v>1</v>
      </c>
      <c r="G95">
        <v>1.3107199999999999</v>
      </c>
      <c r="H95">
        <v>2.6214399999999998</v>
      </c>
      <c r="I95">
        <v>5.2428799999999995</v>
      </c>
      <c r="J95">
        <v>10.485759999999999</v>
      </c>
      <c r="K95">
        <v>20.971519999999998</v>
      </c>
      <c r="L95">
        <v>30</v>
      </c>
      <c r="M95">
        <v>30</v>
      </c>
    </row>
    <row r="96" spans="2:13" hidden="1" x14ac:dyDescent="0.35">
      <c r="B96">
        <v>1</v>
      </c>
      <c r="C96">
        <v>30</v>
      </c>
      <c r="E96">
        <v>6.5</v>
      </c>
      <c r="F96">
        <v>1</v>
      </c>
      <c r="G96">
        <v>1.2603076923076924</v>
      </c>
      <c r="H96">
        <v>2.5206153846153847</v>
      </c>
      <c r="I96">
        <v>5.0412307692307694</v>
      </c>
      <c r="J96">
        <v>10.082461538461539</v>
      </c>
      <c r="K96">
        <v>20.164923076923078</v>
      </c>
      <c r="L96">
        <v>30</v>
      </c>
      <c r="M96">
        <v>30</v>
      </c>
    </row>
    <row r="97" spans="2:13" hidden="1" x14ac:dyDescent="0.35">
      <c r="B97">
        <v>1</v>
      </c>
      <c r="C97">
        <v>30</v>
      </c>
      <c r="E97">
        <v>6.75</v>
      </c>
      <c r="F97">
        <v>1</v>
      </c>
      <c r="G97">
        <v>1.2136296296296296</v>
      </c>
      <c r="H97">
        <v>2.4272592592592592</v>
      </c>
      <c r="I97">
        <v>4.8545185185185185</v>
      </c>
      <c r="J97">
        <v>9.7090370370370369</v>
      </c>
      <c r="K97">
        <v>19.418074074074074</v>
      </c>
      <c r="L97">
        <v>30</v>
      </c>
      <c r="M97">
        <v>30</v>
      </c>
    </row>
    <row r="98" spans="2:13" hidden="1" x14ac:dyDescent="0.35">
      <c r="B98">
        <v>1</v>
      </c>
      <c r="C98">
        <v>30</v>
      </c>
      <c r="E98">
        <v>7</v>
      </c>
      <c r="F98">
        <v>1</v>
      </c>
      <c r="G98">
        <v>1.1702857142857142</v>
      </c>
      <c r="H98">
        <v>2.3405714285714283</v>
      </c>
      <c r="I98">
        <v>4.6811428571428566</v>
      </c>
      <c r="J98">
        <v>9.3622857142857132</v>
      </c>
      <c r="K98">
        <v>18.724571428571426</v>
      </c>
      <c r="L98">
        <v>30</v>
      </c>
      <c r="M98">
        <v>30</v>
      </c>
    </row>
    <row r="99" spans="2:13" hidden="1" x14ac:dyDescent="0.35">
      <c r="B99">
        <v>1</v>
      </c>
      <c r="C99">
        <v>30</v>
      </c>
      <c r="E99">
        <v>7.25</v>
      </c>
      <c r="F99">
        <v>1</v>
      </c>
      <c r="G99">
        <v>1.1299310344827584</v>
      </c>
      <c r="H99">
        <v>2.2598620689655169</v>
      </c>
      <c r="I99">
        <v>4.5197241379310338</v>
      </c>
      <c r="J99">
        <v>9.0394482758620676</v>
      </c>
      <c r="K99">
        <v>18.078896551724135</v>
      </c>
      <c r="L99">
        <v>30</v>
      </c>
      <c r="M99">
        <v>30</v>
      </c>
    </row>
    <row r="100" spans="2:13" hidden="1" x14ac:dyDescent="0.35">
      <c r="B100">
        <v>1</v>
      </c>
      <c r="C100">
        <v>30</v>
      </c>
      <c r="E100">
        <v>7.5</v>
      </c>
      <c r="F100">
        <v>1</v>
      </c>
      <c r="G100">
        <v>1.0922666666666667</v>
      </c>
      <c r="H100">
        <v>2.1845333333333334</v>
      </c>
      <c r="I100">
        <v>4.3690666666666669</v>
      </c>
      <c r="J100">
        <v>8.7381333333333338</v>
      </c>
      <c r="K100">
        <v>17.476266666666668</v>
      </c>
      <c r="L100">
        <v>30</v>
      </c>
      <c r="M100">
        <v>30</v>
      </c>
    </row>
    <row r="101" spans="2:13" hidden="1" x14ac:dyDescent="0.35">
      <c r="B101">
        <v>1</v>
      </c>
      <c r="C101">
        <v>30</v>
      </c>
      <c r="E101">
        <v>7.75</v>
      </c>
      <c r="F101">
        <v>1</v>
      </c>
      <c r="G101">
        <v>1.0570322580645162</v>
      </c>
      <c r="H101">
        <v>2.1140645161290323</v>
      </c>
      <c r="I101">
        <v>4.2281290322580647</v>
      </c>
      <c r="J101">
        <v>8.4562580645161294</v>
      </c>
      <c r="K101">
        <v>16.912516129032259</v>
      </c>
      <c r="L101">
        <v>30</v>
      </c>
      <c r="M101">
        <v>30</v>
      </c>
    </row>
    <row r="102" spans="2:13" hidden="1" x14ac:dyDescent="0.35">
      <c r="B102">
        <v>1</v>
      </c>
      <c r="C102">
        <v>30</v>
      </c>
      <c r="E102">
        <v>8</v>
      </c>
      <c r="F102">
        <v>1</v>
      </c>
      <c r="G102">
        <v>1.024</v>
      </c>
      <c r="H102">
        <v>2.048</v>
      </c>
      <c r="I102">
        <v>4.0960000000000001</v>
      </c>
      <c r="J102">
        <v>8.1920000000000002</v>
      </c>
      <c r="K102">
        <v>16.384</v>
      </c>
      <c r="L102">
        <v>30</v>
      </c>
      <c r="M102">
        <v>30</v>
      </c>
    </row>
    <row r="103" spans="2:13" hidden="1" x14ac:dyDescent="0.35">
      <c r="B103">
        <v>1</v>
      </c>
      <c r="C103">
        <v>30</v>
      </c>
      <c r="E103">
        <v>8.25</v>
      </c>
      <c r="F103">
        <v>1</v>
      </c>
      <c r="G103">
        <v>1</v>
      </c>
      <c r="H103">
        <v>1.9859393939393937</v>
      </c>
      <c r="I103">
        <v>3.9718787878787873</v>
      </c>
      <c r="J103">
        <v>7.9437575757575747</v>
      </c>
      <c r="K103">
        <v>15.887515151515149</v>
      </c>
      <c r="L103">
        <v>30</v>
      </c>
      <c r="M103">
        <v>30</v>
      </c>
    </row>
    <row r="104" spans="2:13" hidden="1" x14ac:dyDescent="0.35">
      <c r="B104">
        <v>1</v>
      </c>
      <c r="C104">
        <v>30</v>
      </c>
      <c r="E104">
        <v>8.5</v>
      </c>
      <c r="F104">
        <v>1</v>
      </c>
      <c r="G104">
        <v>1</v>
      </c>
      <c r="H104">
        <v>1.9275294117647057</v>
      </c>
      <c r="I104">
        <v>3.8550588235294114</v>
      </c>
      <c r="J104">
        <v>7.7101176470588229</v>
      </c>
      <c r="K104">
        <v>15.420235294117646</v>
      </c>
      <c r="L104">
        <v>30</v>
      </c>
      <c r="M104">
        <v>30</v>
      </c>
    </row>
    <row r="105" spans="2:13" hidden="1" x14ac:dyDescent="0.35">
      <c r="B105">
        <v>1</v>
      </c>
      <c r="C105">
        <v>30</v>
      </c>
      <c r="E105">
        <v>9</v>
      </c>
      <c r="F105">
        <v>1</v>
      </c>
      <c r="G105">
        <v>1</v>
      </c>
      <c r="H105">
        <v>1.8204444444444445</v>
      </c>
      <c r="I105">
        <v>3.6408888888888891</v>
      </c>
      <c r="J105">
        <v>7.2817777777777781</v>
      </c>
      <c r="K105">
        <v>14.563555555555556</v>
      </c>
      <c r="L105">
        <v>29.127111111111113</v>
      </c>
      <c r="M105">
        <v>30</v>
      </c>
    </row>
  </sheetData>
  <sheetProtection sheet="1" objects="1" scenarios="1"/>
  <conditionalFormatting sqref="F39:J39">
    <cfRule type="expression" dxfId="39" priority="13">
      <formula>"OFF"</formula>
    </cfRule>
  </conditionalFormatting>
  <conditionalFormatting sqref="C8">
    <cfRule type="expression" dxfId="38" priority="12">
      <formula>AND($C$7=FALSE(),$C$8=TRUE())</formula>
    </cfRule>
  </conditionalFormatting>
  <conditionalFormatting sqref="E8">
    <cfRule type="expression" dxfId="37" priority="11">
      <formula>AND($E$8=TRUE(),$E$7=FALSE())</formula>
    </cfRule>
  </conditionalFormatting>
  <conditionalFormatting sqref="G8">
    <cfRule type="expression" dxfId="36" priority="10">
      <formula>AND($G$8=TRUE(),$G$7=FALSE())</formula>
    </cfRule>
  </conditionalFormatting>
  <conditionalFormatting sqref="I8">
    <cfRule type="expression" dxfId="35" priority="9">
      <formula>AND($I$8=TRUE(),$I$7=FALSE())</formula>
    </cfRule>
  </conditionalFormatting>
  <conditionalFormatting sqref="G7">
    <cfRule type="expression" dxfId="34" priority="8">
      <formula>AND($C$4="LDC2112",$G$7=TRUE())</formula>
    </cfRule>
  </conditionalFormatting>
  <conditionalFormatting sqref="I7">
    <cfRule type="expression" dxfId="33" priority="7">
      <formula>AND($C$4="LDC2112",$I$7=TRUE())</formula>
    </cfRule>
  </conditionalFormatting>
  <conditionalFormatting sqref="C56">
    <cfRule type="expression" dxfId="32" priority="6">
      <formula>(C4="LDC2112")</formula>
    </cfRule>
  </conditionalFormatting>
  <conditionalFormatting sqref="C57">
    <cfRule type="expression" dxfId="31" priority="5">
      <formula>$C$4="LDC2112"</formula>
    </cfRule>
  </conditionalFormatting>
  <conditionalFormatting sqref="C13:C26">
    <cfRule type="expression" dxfId="30" priority="4">
      <formula>NOT($C$7)</formula>
    </cfRule>
  </conditionalFormatting>
  <conditionalFormatting sqref="E13:E26">
    <cfRule type="expression" dxfId="29" priority="3">
      <formula>NOT($E$7)</formula>
    </cfRule>
  </conditionalFormatting>
  <conditionalFormatting sqref="G13:G26">
    <cfRule type="expression" dxfId="28" priority="2">
      <formula>NOT($G$7)</formula>
    </cfRule>
  </conditionalFormatting>
  <conditionalFormatting sqref="I13:I26">
    <cfRule type="expression" dxfId="27" priority="1">
      <formula>NOT($I$7)</formula>
    </cfRule>
  </conditionalFormatting>
  <dataValidations count="17">
    <dataValidation type="list" allowBlank="1" showInputMessage="1" showErrorMessage="1" sqref="B63">
      <formula1>"Rs,Rp"</formula1>
    </dataValidation>
    <dataValidation type="decimal" operator="greaterThan" allowBlank="1" showInputMessage="1" showErrorMessage="1" sqref="C60:C62">
      <formula1>0</formula1>
    </dataValidation>
    <dataValidation allowBlank="1" showDropDown="1" showInputMessage="1" showErrorMessage="1" sqref="B64"/>
    <dataValidation type="list" allowBlank="1" showInputMessage="1" showErrorMessage="1" sqref="C4">
      <formula1>"LDC2112,LDC2114"</formula1>
    </dataValidation>
    <dataValidation type="decimal" allowBlank="1" showInputMessage="1" showErrorMessage="1" error="This is outside the LDC2114 Frequency range of 1 MHz to 30 MHz." sqref="C15 E15 G15 I15">
      <formula1>1</formula1>
      <formula2>30</formula2>
    </dataValidation>
    <dataValidation type="decimal" allowBlank="1" showInputMessage="1" showErrorMessage="1" sqref="C16 C18 E16 E18 G16 G18 I16 I18">
      <formula1>0.01</formula1>
      <formula2>15</formula2>
    </dataValidation>
    <dataValidation type="whole" errorStyle="warning" allowBlank="1" showInputMessage="1" showErrorMessage="1" sqref="C23 E23 G23 I23">
      <formula1>0</formula1>
      <formula2>31</formula2>
    </dataValidation>
    <dataValidation errorStyle="warning" allowBlank="1" showInputMessage="1" showErrorMessage="1" sqref="C48:C57 D53:I53"/>
    <dataValidation type="decimal" errorStyle="warning" allowBlank="1" showInputMessage="1" showErrorMessage="1" error="This value is outside of the design space for the LDC2114; behavior may not be correct." sqref="C13 E13 G13 I13">
      <formula1>0.35</formula1>
      <formula2>10</formula2>
    </dataValidation>
    <dataValidation type="list" allowBlank="1" showInputMessage="1" showErrorMessage="1" sqref="C37">
      <formula1>"0.625,1.25,2.5,5"</formula1>
    </dataValidation>
    <dataValidation type="list" allowBlank="1" showInputMessage="1" showErrorMessage="1" error="The LDC2114 can only be configured to 10, 20, 40, or 80 Hz scan rate for normal power mode." sqref="C40">
      <formula1>"10,20,40,80"</formula1>
    </dataValidation>
    <dataValidation type="whole" allowBlank="1" showInputMessage="1" showErrorMessage="1" error="Invalid number of buttons" sqref="C42:C43">
      <formula1>0</formula1>
      <formula2>4</formula2>
    </dataValidation>
    <dataValidation type="list" allowBlank="1" showInputMessage="1" showErrorMessage="1" sqref="F42:I42">
      <formula1>"ON,OFF"</formula1>
    </dataValidation>
    <dataValidation type="list" allowBlank="1" showInputMessage="1" showErrorMessage="1" sqref="F39">
      <formula1>$F$42:$F$43</formula1>
    </dataValidation>
    <dataValidation type="list" allowBlank="1" showInputMessage="1" showErrorMessage="1" sqref="G39">
      <formula1>$G$42:$G$43</formula1>
    </dataValidation>
    <dataValidation type="list" allowBlank="1" showInputMessage="1" showErrorMessage="1" sqref="I39">
      <formula1>$I$42:$I$43</formula1>
    </dataValidation>
    <dataValidation type="list" allowBlank="1" showInputMessage="1" showErrorMessage="1" sqref="H39">
      <formula1>$H$42:$H$43</formula1>
    </dataValidation>
  </dataValidations>
  <hyperlinks>
    <hyperlink ref="E2" location="Contents!A1" display="Return to Main Page"/>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locked="0" defaultSize="0" autoFill="0" autoLine="0" autoPict="0" altText="Enable Ch0">
                <anchor moveWithCells="1">
                  <from>
                    <xdr:col>2</xdr:col>
                    <xdr:colOff>38100</xdr:colOff>
                    <xdr:row>6</xdr:row>
                    <xdr:rowOff>25400</xdr:rowOff>
                  </from>
                  <to>
                    <xdr:col>2</xdr:col>
                    <xdr:colOff>717550</xdr:colOff>
                    <xdr:row>6</xdr:row>
                    <xdr:rowOff>177800</xdr:rowOff>
                  </to>
                </anchor>
              </controlPr>
            </control>
          </mc:Choice>
        </mc:AlternateContent>
        <mc:AlternateContent xmlns:mc="http://schemas.openxmlformats.org/markup-compatibility/2006">
          <mc:Choice Requires="x14">
            <control shapeId="88066" r:id="rId5" name="Check Box 2">
              <controlPr locked="0" defaultSize="0" autoFill="0" autoLine="0" autoPict="0" altText="Enable Ch0">
                <anchor moveWithCells="1">
                  <from>
                    <xdr:col>6</xdr:col>
                    <xdr:colOff>31750</xdr:colOff>
                    <xdr:row>5</xdr:row>
                    <xdr:rowOff>0</xdr:rowOff>
                  </from>
                  <to>
                    <xdr:col>6</xdr:col>
                    <xdr:colOff>723900</xdr:colOff>
                    <xdr:row>6</xdr:row>
                    <xdr:rowOff>184150</xdr:rowOff>
                  </to>
                </anchor>
              </controlPr>
            </control>
          </mc:Choice>
        </mc:AlternateContent>
        <mc:AlternateContent xmlns:mc="http://schemas.openxmlformats.org/markup-compatibility/2006">
          <mc:Choice Requires="x14">
            <control shapeId="88067" r:id="rId6" name="Check Box 3">
              <controlPr locked="0" defaultSize="0" autoFill="0" autoLine="0" autoPict="0" altText="Enable Ch0">
                <anchor moveWithCells="1">
                  <from>
                    <xdr:col>8</xdr:col>
                    <xdr:colOff>12700</xdr:colOff>
                    <xdr:row>5</xdr:row>
                    <xdr:rowOff>184150</xdr:rowOff>
                  </from>
                  <to>
                    <xdr:col>8</xdr:col>
                    <xdr:colOff>692150</xdr:colOff>
                    <xdr:row>6</xdr:row>
                    <xdr:rowOff>190500</xdr:rowOff>
                  </to>
                </anchor>
              </controlPr>
            </control>
          </mc:Choice>
        </mc:AlternateContent>
        <mc:AlternateContent xmlns:mc="http://schemas.openxmlformats.org/markup-compatibility/2006">
          <mc:Choice Requires="x14">
            <control shapeId="88068" r:id="rId7" name="Check Box 4">
              <controlPr locked="0" defaultSize="0" autoFill="0" autoLine="0" autoPict="0" altText="Enable Ch0">
                <anchor moveWithCells="1">
                  <from>
                    <xdr:col>4</xdr:col>
                    <xdr:colOff>12700</xdr:colOff>
                    <xdr:row>5</xdr:row>
                    <xdr:rowOff>177800</xdr:rowOff>
                  </from>
                  <to>
                    <xdr:col>4</xdr:col>
                    <xdr:colOff>692150</xdr:colOff>
                    <xdr:row>6</xdr:row>
                    <xdr:rowOff>177800</xdr:rowOff>
                  </to>
                </anchor>
              </controlPr>
            </control>
          </mc:Choice>
        </mc:AlternateContent>
        <mc:AlternateContent xmlns:mc="http://schemas.openxmlformats.org/markup-compatibility/2006">
          <mc:Choice Requires="x14">
            <control shapeId="88069" r:id="rId8" name="Check Box 5">
              <controlPr locked="0" defaultSize="0" autoFill="0" autoLine="0" autoPict="0" altText="Enable Ch0">
                <anchor moveWithCells="1">
                  <from>
                    <xdr:col>2</xdr:col>
                    <xdr:colOff>38100</xdr:colOff>
                    <xdr:row>6</xdr:row>
                    <xdr:rowOff>190500</xdr:rowOff>
                  </from>
                  <to>
                    <xdr:col>2</xdr:col>
                    <xdr:colOff>958850</xdr:colOff>
                    <xdr:row>12</xdr:row>
                    <xdr:rowOff>31750</xdr:rowOff>
                  </to>
                </anchor>
              </controlPr>
            </control>
          </mc:Choice>
        </mc:AlternateContent>
        <mc:AlternateContent xmlns:mc="http://schemas.openxmlformats.org/markup-compatibility/2006">
          <mc:Choice Requires="x14">
            <control shapeId="88070" r:id="rId9" name="Check Box 6">
              <controlPr locked="0" defaultSize="0" autoFill="0" autoLine="0" autoPict="0" altText="Enable Ch0">
                <anchor moveWithCells="1">
                  <from>
                    <xdr:col>4</xdr:col>
                    <xdr:colOff>19050</xdr:colOff>
                    <xdr:row>7</xdr:row>
                    <xdr:rowOff>6350</xdr:rowOff>
                  </from>
                  <to>
                    <xdr:col>4</xdr:col>
                    <xdr:colOff>939800</xdr:colOff>
                    <xdr:row>7</xdr:row>
                    <xdr:rowOff>177800</xdr:rowOff>
                  </to>
                </anchor>
              </controlPr>
            </control>
          </mc:Choice>
        </mc:AlternateContent>
        <mc:AlternateContent xmlns:mc="http://schemas.openxmlformats.org/markup-compatibility/2006">
          <mc:Choice Requires="x14">
            <control shapeId="88071" r:id="rId10" name="Check Box 7">
              <controlPr locked="0" defaultSize="0" autoFill="0" autoLine="0" autoPict="0" altText="Enable Ch0">
                <anchor moveWithCells="1">
                  <from>
                    <xdr:col>6</xdr:col>
                    <xdr:colOff>31750</xdr:colOff>
                    <xdr:row>6</xdr:row>
                    <xdr:rowOff>184150</xdr:rowOff>
                  </from>
                  <to>
                    <xdr:col>6</xdr:col>
                    <xdr:colOff>984250</xdr:colOff>
                    <xdr:row>8</xdr:row>
                    <xdr:rowOff>0</xdr:rowOff>
                  </to>
                </anchor>
              </controlPr>
            </control>
          </mc:Choice>
        </mc:AlternateContent>
        <mc:AlternateContent xmlns:mc="http://schemas.openxmlformats.org/markup-compatibility/2006">
          <mc:Choice Requires="x14">
            <control shapeId="88072" r:id="rId11" name="Check Box 8">
              <controlPr locked="0" defaultSize="0" autoFill="0" autoLine="0" autoPict="0" altText="Enable Ch0">
                <anchor moveWithCells="1">
                  <from>
                    <xdr:col>8</xdr:col>
                    <xdr:colOff>12700</xdr:colOff>
                    <xdr:row>7</xdr:row>
                    <xdr:rowOff>6350</xdr:rowOff>
                  </from>
                  <to>
                    <xdr:col>8</xdr:col>
                    <xdr:colOff>933450</xdr:colOff>
                    <xdr:row>7</xdr:row>
                    <xdr:rowOff>184150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2:Q184"/>
  <sheetViews>
    <sheetView showGridLines="0" showRowColHeaders="0" zoomScaleNormal="100" workbookViewId="0">
      <selection activeCell="J25" sqref="J25"/>
    </sheetView>
  </sheetViews>
  <sheetFormatPr defaultColWidth="9.1796875" defaultRowHeight="14.5" x14ac:dyDescent="0.35"/>
  <cols>
    <col min="1" max="1" width="9.1796875" style="2"/>
    <col min="2" max="2" width="37.26953125" style="2" customWidth="1"/>
    <col min="3" max="3" width="10.81640625" style="2" customWidth="1"/>
    <col min="4" max="4" width="7.1796875" style="2" customWidth="1"/>
    <col min="5" max="5" width="48.81640625" style="2" customWidth="1"/>
    <col min="6" max="16384" width="9.1796875" style="2"/>
  </cols>
  <sheetData>
    <row r="2" spans="2:8" ht="18.5" x14ac:dyDescent="0.45">
      <c r="B2" s="186" t="s">
        <v>514</v>
      </c>
      <c r="D2" s="187" t="s">
        <v>211</v>
      </c>
    </row>
    <row r="3" spans="2:8" ht="15.5" x14ac:dyDescent="0.35">
      <c r="B3" s="188" t="s">
        <v>515</v>
      </c>
    </row>
    <row r="4" spans="2:8" ht="15.5" x14ac:dyDescent="0.35">
      <c r="B4" s="188" t="s">
        <v>516</v>
      </c>
    </row>
    <row r="5" spans="2:8" ht="15.5" x14ac:dyDescent="0.35">
      <c r="B5" s="189"/>
      <c r="H5" s="1"/>
    </row>
    <row r="6" spans="2:8" ht="15.5" x14ac:dyDescent="0.35">
      <c r="B6" s="505" t="s">
        <v>776</v>
      </c>
      <c r="H6" s="1"/>
    </row>
    <row r="7" spans="2:8" x14ac:dyDescent="0.35">
      <c r="B7" s="190" t="s">
        <v>469</v>
      </c>
      <c r="C7" s="47">
        <v>3.3</v>
      </c>
      <c r="D7" s="191" t="s">
        <v>423</v>
      </c>
    </row>
    <row r="8" spans="2:8" hidden="1" x14ac:dyDescent="0.35">
      <c r="B8" s="190" t="s">
        <v>510</v>
      </c>
      <c r="C8" s="183">
        <f>IF(C7=1.8,4.35,6)</f>
        <v>6</v>
      </c>
      <c r="D8" s="191" t="s">
        <v>258</v>
      </c>
    </row>
    <row r="9" spans="2:8" hidden="1" x14ac:dyDescent="0.35">
      <c r="B9" s="190" t="s">
        <v>774</v>
      </c>
      <c r="C9" s="504">
        <f>1000/(4.83*19*C8)</f>
        <v>1.8161345392466675</v>
      </c>
      <c r="D9" s="193" t="s">
        <v>109</v>
      </c>
    </row>
    <row r="10" spans="2:8" ht="15.5" x14ac:dyDescent="0.35">
      <c r="B10" s="190" t="s">
        <v>300</v>
      </c>
      <c r="C10" s="54">
        <v>8</v>
      </c>
      <c r="D10" s="193" t="s">
        <v>109</v>
      </c>
      <c r="E10" s="189" t="str">
        <f>IF(C10&lt;C9,CONCATENATE("Inductance is below acceptable minimum of ",ROUND(C9,2),"µH"),"")</f>
        <v/>
      </c>
    </row>
    <row r="11" spans="2:8" ht="16.5" x14ac:dyDescent="0.45">
      <c r="B11" s="190" t="s">
        <v>512</v>
      </c>
      <c r="C11" s="182">
        <v>68</v>
      </c>
      <c r="D11" s="193" t="s">
        <v>27</v>
      </c>
      <c r="E11" s="194"/>
    </row>
    <row r="12" spans="2:8" ht="16.5" x14ac:dyDescent="0.45">
      <c r="B12" s="190" t="s">
        <v>513</v>
      </c>
      <c r="C12" s="182">
        <v>4</v>
      </c>
      <c r="D12" s="190" t="s">
        <v>27</v>
      </c>
    </row>
    <row r="13" spans="2:8" ht="16.5" x14ac:dyDescent="0.45">
      <c r="B13" s="190" t="s">
        <v>521</v>
      </c>
      <c r="C13" s="434">
        <f>C11+C12+12</f>
        <v>84</v>
      </c>
      <c r="D13" s="190" t="s">
        <v>27</v>
      </c>
      <c r="E13" s="194" t="str">
        <f>IF(C13&lt;33,"Total Sensor Capacitance is less than minimum of 33pF","Includes 12pF on LCOM pin")</f>
        <v>Includes 12pF on LCOM pin</v>
      </c>
    </row>
    <row r="14" spans="2:8" ht="15.5" x14ac:dyDescent="0.35">
      <c r="B14" s="190" t="s">
        <v>2</v>
      </c>
      <c r="C14" s="195">
        <f>1000/(SQRT(2)*PI()*SQRT(C13*C10))</f>
        <v>8.6826139755357072</v>
      </c>
      <c r="D14" s="190" t="s">
        <v>0</v>
      </c>
      <c r="E14" s="189" t="str">
        <f>IF(C14&gt;19,"Sensor Frequency exceeds maximum of 19MHz; increase Csensor",IF(C14&lt;0.3,"Sensor Frequency below minimum of 300kHz",""))</f>
        <v/>
      </c>
    </row>
    <row r="15" spans="2:8" x14ac:dyDescent="0.35">
      <c r="B15" s="190" t="s">
        <v>494</v>
      </c>
      <c r="C15" s="196">
        <f>1000000/(231*C14)</f>
        <v>498.5830697070964</v>
      </c>
      <c r="D15" s="193" t="s">
        <v>235</v>
      </c>
    </row>
    <row r="16" spans="2:8" x14ac:dyDescent="0.35">
      <c r="B16" s="190" t="s">
        <v>493</v>
      </c>
      <c r="C16" s="195">
        <f>1000/C15</f>
        <v>2.0056838283487486</v>
      </c>
      <c r="D16" s="190" t="s">
        <v>215</v>
      </c>
    </row>
    <row r="17" spans="2:5" ht="16.5" hidden="1" x14ac:dyDescent="0.45">
      <c r="B17" s="197" t="s">
        <v>476</v>
      </c>
      <c r="C17" s="198">
        <f>0.7*10^-3</f>
        <v>6.9999999999999999E-4</v>
      </c>
      <c r="D17" s="2" t="s">
        <v>477</v>
      </c>
    </row>
    <row r="18" spans="2:5" ht="16.5" hidden="1" x14ac:dyDescent="0.45">
      <c r="B18" s="197" t="s">
        <v>478</v>
      </c>
      <c r="C18" s="198">
        <f>24.262*10^-12*C14*10^6+1.5*C14*10^6*C12*10^-12</f>
        <v>2.6275326412766159E-4</v>
      </c>
      <c r="D18" s="2" t="s">
        <v>477</v>
      </c>
    </row>
    <row r="19" spans="2:5" ht="16.5" x14ac:dyDescent="0.45">
      <c r="B19" s="199" t="s">
        <v>780</v>
      </c>
      <c r="C19" s="509">
        <f>1000/(4.83*C14*C10)</f>
        <v>2.9806596558576413</v>
      </c>
      <c r="D19" s="191" t="s">
        <v>258</v>
      </c>
      <c r="E19" s="194" t="str">
        <f>IF(C19&gt;C8,"Isensor limited to "&amp;C8&amp;"mA; decrease Csensor","")</f>
        <v/>
      </c>
    </row>
    <row r="20" spans="2:5" ht="16.5" x14ac:dyDescent="0.45">
      <c r="B20" s="199" t="s">
        <v>779</v>
      </c>
      <c r="C20" s="509">
        <f>1000*(C19/1000+C17+C18)</f>
        <v>3.9434129199853025</v>
      </c>
      <c r="D20" s="191" t="s">
        <v>258</v>
      </c>
      <c r="E20" s="194"/>
    </row>
    <row r="21" spans="2:5" x14ac:dyDescent="0.35">
      <c r="B21" s="200"/>
      <c r="C21" s="507"/>
      <c r="D21" s="508"/>
    </row>
    <row r="22" spans="2:5" ht="15.5" x14ac:dyDescent="0.35">
      <c r="B22" s="506" t="s">
        <v>777</v>
      </c>
      <c r="C22" s="507"/>
      <c r="D22" s="508"/>
    </row>
    <row r="23" spans="2:5" x14ac:dyDescent="0.35">
      <c r="B23" s="190" t="s">
        <v>466</v>
      </c>
      <c r="C23" s="184">
        <v>10</v>
      </c>
      <c r="D23" s="47" t="s">
        <v>34</v>
      </c>
    </row>
    <row r="24" spans="2:5" hidden="1" x14ac:dyDescent="0.35">
      <c r="B24" s="190" t="s">
        <v>470</v>
      </c>
      <c r="C24" s="185">
        <f>IF(D23="mm",C23,C23*0.0254)</f>
        <v>10</v>
      </c>
      <c r="D24" s="511" t="s">
        <v>34</v>
      </c>
    </row>
    <row r="25" spans="2:5" x14ac:dyDescent="0.35">
      <c r="B25" s="190" t="s">
        <v>502</v>
      </c>
      <c r="C25" s="184">
        <v>0.75</v>
      </c>
      <c r="D25" s="326" t="s">
        <v>34</v>
      </c>
      <c r="E25" s="194"/>
    </row>
    <row r="26" spans="2:5" hidden="1" x14ac:dyDescent="0.35">
      <c r="B26" s="190" t="s">
        <v>471</v>
      </c>
      <c r="C26" s="435">
        <f>IF(D25="mm",C25,C25*0.0254)</f>
        <v>0.75</v>
      </c>
      <c r="D26" s="191" t="s">
        <v>34</v>
      </c>
    </row>
    <row r="27" spans="2:5" hidden="1" x14ac:dyDescent="0.35">
      <c r="B27" s="190" t="s">
        <v>490</v>
      </c>
      <c r="C27" s="192">
        <f>C26/C24</f>
        <v>7.4999999999999997E-2</v>
      </c>
      <c r="D27" s="191"/>
    </row>
    <row r="28" spans="2:5" hidden="1" x14ac:dyDescent="0.35">
      <c r="B28" s="199" t="s">
        <v>491</v>
      </c>
      <c r="C28" s="433">
        <f>(0.00406832344757895+15.5588911/(1+(C23/0.0358077078721068)^0.865185989584669))+(0.973523646945684-1.1322846019223/(1+(C23/1.1356393338887)^1.06847511981245))*(1-EXP(-(10.3324121181807-56.0213701830392/(1+(C23/0.0139455036722347)^0.572123422421793))*C27))</f>
        <v>0.55251736749777236</v>
      </c>
      <c r="D28" s="193"/>
    </row>
    <row r="29" spans="2:5" hidden="1" x14ac:dyDescent="0.35">
      <c r="B29" s="201" t="s">
        <v>492</v>
      </c>
      <c r="C29" s="433">
        <f>IF(C28&lt;0.1,0.1,IF(C28&gt;1,1,C28))</f>
        <v>0.55251736749777236</v>
      </c>
      <c r="D29" s="193"/>
    </row>
    <row r="30" spans="2:5" x14ac:dyDescent="0.35">
      <c r="B30" s="201" t="s">
        <v>518</v>
      </c>
      <c r="C30" s="202">
        <f>C29*C10</f>
        <v>4.4201389399821789</v>
      </c>
      <c r="D30" s="193" t="s">
        <v>109</v>
      </c>
      <c r="E30" s="194"/>
    </row>
    <row r="31" spans="2:5" x14ac:dyDescent="0.35">
      <c r="B31" s="199" t="s">
        <v>504</v>
      </c>
      <c r="C31" s="202">
        <f>1000/(SQRT(2)*PI()*SQRT(C13*C10*C29))</f>
        <v>11.680932814202565</v>
      </c>
      <c r="D31" s="190" t="s">
        <v>0</v>
      </c>
    </row>
    <row r="32" spans="2:5" ht="16.5" x14ac:dyDescent="0.45">
      <c r="B32" s="199" t="s">
        <v>778</v>
      </c>
      <c r="C32" s="204">
        <f>1000/(4.83*C31*C30)</f>
        <v>4.0099542925872251</v>
      </c>
      <c r="D32" s="190" t="s">
        <v>258</v>
      </c>
      <c r="E32" s="194" t="str">
        <f>IF(C32&gt;C8,"Isensor limited to "&amp;C8&amp;"mA; decrease Csensor or target is too close to sensor","")</f>
        <v/>
      </c>
    </row>
    <row r="33" spans="2:5" x14ac:dyDescent="0.35">
      <c r="B33" s="201" t="s">
        <v>642</v>
      </c>
      <c r="C33" s="322">
        <v>2</v>
      </c>
      <c r="D33" s="47" t="str">
        <f>D23</f>
        <v>mm</v>
      </c>
      <c r="E33" s="194" t="str">
        <f>IF((C34/C24)&gt;0.5,"Switching distance farther than maximum of "&amp;ROUND(C23*0.5,2)&amp;D23&amp;" for coil size",IF(C34&lt;C26,"Desired switching distance is closer than closest target distance of "&amp;ROUND(C25,2)&amp;D25,""))</f>
        <v/>
      </c>
    </row>
    <row r="34" spans="2:5" hidden="1" x14ac:dyDescent="0.35">
      <c r="B34" s="201" t="s">
        <v>503</v>
      </c>
      <c r="C34" s="435">
        <f>IF(D33="mm",C33,C33*0.0254)</f>
        <v>2</v>
      </c>
      <c r="D34" s="193" t="s">
        <v>34</v>
      </c>
    </row>
    <row r="35" spans="2:5" hidden="1" x14ac:dyDescent="0.35">
      <c r="B35" s="201"/>
      <c r="C35" s="192">
        <f>C34/C24</f>
        <v>0.2</v>
      </c>
      <c r="D35" s="193"/>
    </row>
    <row r="36" spans="2:5" hidden="1" x14ac:dyDescent="0.35">
      <c r="B36" s="199" t="s">
        <v>491</v>
      </c>
      <c r="C36" s="433">
        <f xml:space="preserve"> 4.0204*C35^5 - 13.839*C35^4 + 18.502*C35^3 - 12.097*C35^2 + 3.9604*C35 + 0.4499</f>
        <v>0.88526012799999998</v>
      </c>
      <c r="D36" s="193"/>
    </row>
    <row r="37" spans="2:5" hidden="1" x14ac:dyDescent="0.35">
      <c r="B37" s="201" t="s">
        <v>492</v>
      </c>
      <c r="C37" s="433">
        <f>IF(C36&lt;0.1,0.1,IF(C36&gt;1,1,C36))</f>
        <v>0.88526012799999998</v>
      </c>
      <c r="D37" s="193"/>
    </row>
    <row r="38" spans="2:5" hidden="1" x14ac:dyDescent="0.35">
      <c r="B38" s="201" t="s">
        <v>529</v>
      </c>
      <c r="C38" s="192">
        <f>ROUND((((100*C34/C24)-48.143)/-2.8312),0)</f>
        <v>10</v>
      </c>
      <c r="D38" s="193"/>
    </row>
    <row r="39" spans="2:5" hidden="1" x14ac:dyDescent="0.35">
      <c r="B39" s="201" t="s">
        <v>531</v>
      </c>
      <c r="C39" s="192">
        <f>IF((0.01*C24*(-2.8312*C38+48.143))&lt;C25,C38-1,C38)</f>
        <v>10</v>
      </c>
      <c r="D39" s="193"/>
    </row>
    <row r="40" spans="2:5" x14ac:dyDescent="0.35">
      <c r="B40" s="201" t="s">
        <v>511</v>
      </c>
      <c r="C40" s="437">
        <f>IF(C39&lt;0,"Invalid",IF(C39&gt;15,"Invalid",C39))</f>
        <v>10</v>
      </c>
      <c r="D40" s="193"/>
    </row>
    <row r="41" spans="2:5" hidden="1" x14ac:dyDescent="0.35">
      <c r="B41" s="201" t="s">
        <v>530</v>
      </c>
      <c r="C41" s="510">
        <f>0.01*C24*(-2.8312*C40+48.143)</f>
        <v>1.9831000000000003</v>
      </c>
      <c r="D41" s="193" t="s">
        <v>34</v>
      </c>
    </row>
    <row r="42" spans="2:5" x14ac:dyDescent="0.35">
      <c r="B42" s="201" t="s">
        <v>508</v>
      </c>
      <c r="C42" s="204">
        <f>IF(D42="mm",C41,C41/0.0254)</f>
        <v>1.9831000000000003</v>
      </c>
      <c r="D42" s="429" t="str">
        <f>D23</f>
        <v>mm</v>
      </c>
      <c r="E42" s="194" t="str">
        <f>IF(C34&lt;C26,"Switching point is closer than min target distance","")</f>
        <v/>
      </c>
    </row>
    <row r="43" spans="2:5" hidden="1" x14ac:dyDescent="0.35">
      <c r="B43" s="201" t="s">
        <v>505</v>
      </c>
      <c r="C43" s="192">
        <f>0.01*C24*(-3.1434*C40+52.595)</f>
        <v>2.1160999999999999</v>
      </c>
      <c r="D43" s="193" t="s">
        <v>34</v>
      </c>
    </row>
    <row r="44" spans="2:5" x14ac:dyDescent="0.35">
      <c r="B44" s="201" t="s">
        <v>509</v>
      </c>
      <c r="C44" s="204">
        <f>IF(D44="mm",C43,C43/0.0254)</f>
        <v>2.1160999999999999</v>
      </c>
      <c r="D44" s="429" t="str">
        <f>D23</f>
        <v>mm</v>
      </c>
    </row>
    <row r="45" spans="2:5" hidden="1" x14ac:dyDescent="0.35">
      <c r="B45" s="201"/>
      <c r="C45" s="192">
        <f>C43/C23</f>
        <v>0.21160999999999999</v>
      </c>
      <c r="D45" s="265"/>
    </row>
    <row r="46" spans="2:5" hidden="1" x14ac:dyDescent="0.35">
      <c r="B46" s="199" t="s">
        <v>491</v>
      </c>
      <c r="C46" s="192">
        <f>(0.00406832344757895+15.5588911/(1+(C23/0.0358077078721068)^0.865185989584669))+(0.973523646945684-1.1322846019223/(1+(C23/1.1356393338887)^1.06847511981245))*(1-EXP(-(10.3324121181807-56.0213701830392/(1+(C23/0.0139455036722347)^0.572123422421793))*C45))</f>
        <v>0.86652561227503577</v>
      </c>
      <c r="D46" s="265"/>
    </row>
    <row r="47" spans="2:5" hidden="1" x14ac:dyDescent="0.35">
      <c r="B47" s="201" t="s">
        <v>492</v>
      </c>
      <c r="C47" s="192">
        <f>IF(C46&lt;0.1,0.1,IF(C46&gt;1,1,C46))</f>
        <v>0.86652561227503577</v>
      </c>
      <c r="D47" s="265"/>
    </row>
    <row r="48" spans="2:5" hidden="1" x14ac:dyDescent="0.35">
      <c r="B48" s="201"/>
      <c r="C48" s="204"/>
      <c r="D48" s="265"/>
    </row>
    <row r="49" spans="2:5" hidden="1" x14ac:dyDescent="0.35">
      <c r="B49" s="201" t="s">
        <v>495</v>
      </c>
      <c r="C49" s="206">
        <f>C47*C10</f>
        <v>6.9322048982002862</v>
      </c>
      <c r="D49" s="193" t="s">
        <v>109</v>
      </c>
    </row>
    <row r="50" spans="2:5" hidden="1" x14ac:dyDescent="0.35">
      <c r="B50" s="199" t="s">
        <v>504</v>
      </c>
      <c r="C50" s="206">
        <f>1000/(SQRT(2)*PI()*SQRT(C13*C10*C29))</f>
        <v>11.680932814202565</v>
      </c>
      <c r="D50" s="190" t="s">
        <v>0</v>
      </c>
      <c r="E50" s="194"/>
    </row>
    <row r="51" spans="2:5" hidden="1" x14ac:dyDescent="0.35">
      <c r="B51" s="199" t="s">
        <v>775</v>
      </c>
      <c r="C51" s="206">
        <f>IF(C50&lt;0.3,0.3,IF(C50&gt;19,19,C50))</f>
        <v>11.680932814202565</v>
      </c>
      <c r="D51" s="190"/>
      <c r="E51" s="194"/>
    </row>
    <row r="52" spans="2:5" ht="15.5" hidden="1" x14ac:dyDescent="0.35">
      <c r="B52" s="205" t="s">
        <v>489</v>
      </c>
      <c r="C52" s="206">
        <f>1000/(4.83*C51*C8)</f>
        <v>2.9540925193689143</v>
      </c>
      <c r="D52" s="193" t="s">
        <v>109</v>
      </c>
    </row>
    <row r="54" spans="2:5" hidden="1" x14ac:dyDescent="0.35"/>
    <row r="55" spans="2:5" hidden="1" x14ac:dyDescent="0.35">
      <c r="B55" s="207" t="s">
        <v>214</v>
      </c>
      <c r="C55" s="207">
        <v>10</v>
      </c>
      <c r="D55" s="207" t="s">
        <v>468</v>
      </c>
    </row>
    <row r="56" spans="2:5" hidden="1" x14ac:dyDescent="0.35">
      <c r="B56" s="208" t="s">
        <v>472</v>
      </c>
      <c r="C56" s="208">
        <f>ROUND(C54/(C71*1000)/24/365,1)</f>
        <v>0</v>
      </c>
      <c r="D56" s="208" t="s">
        <v>473</v>
      </c>
    </row>
    <row r="57" spans="2:5" hidden="1" x14ac:dyDescent="0.35">
      <c r="B57" s="208" t="s">
        <v>474</v>
      </c>
      <c r="C57" s="208">
        <f>ROUND(C71*10^6,1)</f>
        <v>5</v>
      </c>
      <c r="D57" s="208" t="s">
        <v>475</v>
      </c>
    </row>
    <row r="58" spans="2:5" hidden="1" x14ac:dyDescent="0.35"/>
    <row r="59" spans="2:5" hidden="1" x14ac:dyDescent="0.35"/>
    <row r="60" spans="2:5" hidden="1" x14ac:dyDescent="0.35"/>
    <row r="61" spans="2:5" ht="16.5" hidden="1" x14ac:dyDescent="0.45">
      <c r="B61" s="2" t="s">
        <v>479</v>
      </c>
      <c r="C61" s="209">
        <f>C20*0.0001</f>
        <v>3.9434129199853027E-4</v>
      </c>
      <c r="D61" s="2" t="s">
        <v>477</v>
      </c>
    </row>
    <row r="62" spans="2:5" ht="16.5" hidden="1" x14ac:dyDescent="0.45">
      <c r="B62" s="2" t="s">
        <v>480</v>
      </c>
      <c r="C62" s="210">
        <f>140*10^-9</f>
        <v>1.4000000000000001E-7</v>
      </c>
      <c r="D62" s="2" t="s">
        <v>477</v>
      </c>
      <c r="E62" s="2" t="s">
        <v>481</v>
      </c>
    </row>
    <row r="63" spans="2:5" hidden="1" x14ac:dyDescent="0.35"/>
    <row r="64" spans="2:5" ht="16.5" hidden="1" x14ac:dyDescent="0.45">
      <c r="B64" s="2" t="s">
        <v>482</v>
      </c>
      <c r="C64" s="2">
        <f>450*10^-6</f>
        <v>4.4999999999999999E-4</v>
      </c>
      <c r="D64" s="2" t="s">
        <v>467</v>
      </c>
      <c r="E64" s="2" t="s">
        <v>483</v>
      </c>
    </row>
    <row r="65" spans="2:4" ht="16.5" hidden="1" x14ac:dyDescent="0.45">
      <c r="B65" s="2" t="s">
        <v>484</v>
      </c>
      <c r="C65" s="2">
        <f>1/(C14*10^6*231*10^-6)</f>
        <v>4.9858306970709636E-4</v>
      </c>
      <c r="D65" s="2" t="s">
        <v>467</v>
      </c>
    </row>
    <row r="66" spans="2:4" hidden="1" x14ac:dyDescent="0.35"/>
    <row r="67" spans="2:4" ht="16.5" hidden="1" x14ac:dyDescent="0.45">
      <c r="B67" s="2" t="s">
        <v>485</v>
      </c>
      <c r="C67" s="2">
        <f>C55*2*C65*(C61)</f>
        <v>3.9322378375377932E-6</v>
      </c>
      <c r="D67" s="2" t="s">
        <v>477</v>
      </c>
    </row>
    <row r="68" spans="2:4" ht="16.5" hidden="1" x14ac:dyDescent="0.45">
      <c r="B68" s="2" t="s">
        <v>486</v>
      </c>
      <c r="C68" s="2">
        <f>C55*C64*(C61/2)</f>
        <v>8.8726790699669298E-7</v>
      </c>
      <c r="D68" s="2" t="s">
        <v>477</v>
      </c>
    </row>
    <row r="69" spans="2:4" ht="16.5" hidden="1" x14ac:dyDescent="0.45">
      <c r="B69" s="2" t="s">
        <v>487</v>
      </c>
      <c r="C69" s="2">
        <f>(1-C55*(C64+C65*2))*(C62)</f>
        <v>1.3797396740482015E-7</v>
      </c>
      <c r="D69" s="2" t="s">
        <v>477</v>
      </c>
    </row>
    <row r="70" spans="2:4" hidden="1" x14ac:dyDescent="0.35"/>
    <row r="71" spans="2:4" ht="16.5" hidden="1" x14ac:dyDescent="0.45">
      <c r="B71" s="2" t="s">
        <v>488</v>
      </c>
      <c r="C71" s="2">
        <f>C67+C68+C69</f>
        <v>4.9574797119393063E-6</v>
      </c>
      <c r="D71" s="2" t="s">
        <v>477</v>
      </c>
    </row>
    <row r="72" spans="2:4" hidden="1" x14ac:dyDescent="0.35"/>
    <row r="73" spans="2:4" hidden="1" x14ac:dyDescent="0.35"/>
    <row r="89" spans="2:5" ht="18.5" x14ac:dyDescent="0.45">
      <c r="B89" s="186" t="s">
        <v>629</v>
      </c>
    </row>
    <row r="90" spans="2:5" ht="18.5" x14ac:dyDescent="0.45">
      <c r="B90" s="186"/>
    </row>
    <row r="91" spans="2:5" ht="130.5" customHeight="1" x14ac:dyDescent="0.35"/>
    <row r="93" spans="2:5" x14ac:dyDescent="0.35">
      <c r="B93" s="191" t="s">
        <v>583</v>
      </c>
      <c r="C93" s="202">
        <f>C16</f>
        <v>2.0056838283487486</v>
      </c>
      <c r="D93" s="191" t="s">
        <v>215</v>
      </c>
      <c r="E93" s="382" t="s">
        <v>578</v>
      </c>
    </row>
    <row r="94" spans="2:5" x14ac:dyDescent="0.35">
      <c r="B94" s="199" t="s">
        <v>582</v>
      </c>
      <c r="C94" s="47">
        <v>30</v>
      </c>
      <c r="D94" s="383" t="s">
        <v>580</v>
      </c>
      <c r="E94" s="382"/>
    </row>
    <row r="95" spans="2:5" x14ac:dyDescent="0.35">
      <c r="B95" s="191" t="s">
        <v>581</v>
      </c>
      <c r="C95" s="47">
        <v>30</v>
      </c>
      <c r="D95" s="383" t="s">
        <v>580</v>
      </c>
      <c r="E95" s="194" t="str">
        <f>IF(C95+C94&gt;360,"Angle of Gap + Event is too large!","")</f>
        <v/>
      </c>
    </row>
    <row r="96" spans="2:5" x14ac:dyDescent="0.35">
      <c r="B96" s="191" t="s">
        <v>579</v>
      </c>
      <c r="C96" s="203">
        <f>180/MIN(C94,C95)</f>
        <v>6</v>
      </c>
      <c r="D96" s="191"/>
      <c r="E96" s="382"/>
    </row>
    <row r="97" spans="1:17" x14ac:dyDescent="0.35">
      <c r="B97" s="191" t="s">
        <v>575</v>
      </c>
      <c r="C97" s="47">
        <v>3</v>
      </c>
      <c r="D97" s="191"/>
      <c r="E97" s="348" t="s">
        <v>641</v>
      </c>
    </row>
    <row r="98" spans="1:17" x14ac:dyDescent="0.35">
      <c r="A98" s="211"/>
      <c r="B98" s="190" t="s">
        <v>577</v>
      </c>
      <c r="C98" s="434">
        <f>C16*60000/C97/C96</f>
        <v>6685.6127611624952</v>
      </c>
      <c r="D98" s="190" t="s">
        <v>576</v>
      </c>
      <c r="E98" s="211"/>
      <c r="F98" s="211"/>
      <c r="G98" s="211"/>
      <c r="H98" s="211"/>
      <c r="I98" s="211"/>
      <c r="J98" s="211"/>
      <c r="K98" s="211"/>
    </row>
    <row r="99" spans="1:17" x14ac:dyDescent="0.35">
      <c r="A99" s="211"/>
      <c r="B99" s="211"/>
      <c r="C99" s="211"/>
      <c r="D99" s="211"/>
      <c r="E99" s="211"/>
      <c r="F99" s="211"/>
      <c r="G99" s="211"/>
      <c r="H99" s="211"/>
      <c r="I99" s="211"/>
      <c r="J99" s="211"/>
      <c r="K99" s="211"/>
    </row>
    <row r="100" spans="1:17" x14ac:dyDescent="0.35">
      <c r="A100" s="211"/>
      <c r="B100" s="211"/>
      <c r="C100" s="211"/>
      <c r="D100" s="211"/>
      <c r="E100" s="211"/>
      <c r="F100" s="211"/>
      <c r="G100" s="211"/>
      <c r="H100" s="211"/>
      <c r="I100" s="211"/>
      <c r="J100" s="211"/>
      <c r="K100" s="211"/>
    </row>
    <row r="101" spans="1:17" x14ac:dyDescent="0.35">
      <c r="A101" s="212"/>
      <c r="B101" s="212"/>
      <c r="C101" s="212"/>
      <c r="D101" s="212"/>
      <c r="E101" s="212"/>
      <c r="F101" s="212"/>
      <c r="G101" s="212"/>
      <c r="H101" s="211"/>
      <c r="I101" s="213" t="str">
        <f>CONCATENATE("Switching Distance (",D23,")")</f>
        <v>Switching Distance (mm)</v>
      </c>
      <c r="J101" s="213"/>
      <c r="K101" s="213"/>
      <c r="L101" s="213"/>
      <c r="M101" s="213"/>
      <c r="N101" s="213"/>
      <c r="O101" s="213"/>
      <c r="P101" s="213"/>
      <c r="Q101" s="211"/>
    </row>
    <row r="102" spans="1:17" x14ac:dyDescent="0.35">
      <c r="A102" s="212"/>
      <c r="B102" s="213" t="s">
        <v>499</v>
      </c>
      <c r="C102" s="213" t="s">
        <v>498</v>
      </c>
      <c r="D102" s="213" t="s">
        <v>497</v>
      </c>
      <c r="E102" s="213" t="s">
        <v>500</v>
      </c>
      <c r="F102" s="213" t="s">
        <v>501</v>
      </c>
      <c r="G102" s="212"/>
      <c r="H102" s="214"/>
      <c r="I102" s="213" t="s">
        <v>522</v>
      </c>
      <c r="J102" s="213" t="s">
        <v>523</v>
      </c>
      <c r="K102" s="213" t="s">
        <v>524</v>
      </c>
      <c r="L102" s="213" t="s">
        <v>525</v>
      </c>
      <c r="M102" s="213" t="s">
        <v>526</v>
      </c>
      <c r="N102" s="213" t="s">
        <v>527</v>
      </c>
      <c r="O102" s="213" t="s">
        <v>528</v>
      </c>
      <c r="P102" s="215" t="str">
        <f>C23&amp;D23</f>
        <v>10mm</v>
      </c>
      <c r="Q102" s="211"/>
    </row>
    <row r="103" spans="1:17" x14ac:dyDescent="0.35">
      <c r="A103" s="212"/>
      <c r="B103" s="216">
        <v>250000</v>
      </c>
      <c r="C103" s="216">
        <f>1.3/(2*PI()*C$8*0.001*$B103*10^-6)</f>
        <v>137.93428401297598</v>
      </c>
      <c r="D103" s="217">
        <f>2/((2*PI()*$B103*10^-6)^2*33)*10^6</f>
        <v>24562.711186021286</v>
      </c>
      <c r="E103" s="218">
        <f>C14*1000000</f>
        <v>8682613.9755357075</v>
      </c>
      <c r="F103" s="219">
        <f>C10</f>
        <v>8</v>
      </c>
      <c r="G103" s="213"/>
      <c r="H103" s="213"/>
      <c r="I103" s="213">
        <v>15</v>
      </c>
      <c r="J103" s="213">
        <v>4.0773946360153248</v>
      </c>
      <c r="K103" s="213">
        <v>3.73639846743295</v>
      </c>
      <c r="L103" s="213">
        <f>J103/100*$C$23</f>
        <v>0.40773946360153246</v>
      </c>
      <c r="M103" s="213">
        <f>K103/100*$C$23</f>
        <v>0.37363984674329498</v>
      </c>
      <c r="N103" s="213">
        <f>$C$33</f>
        <v>2</v>
      </c>
      <c r="O103" s="219">
        <f>$C$25</f>
        <v>0.75</v>
      </c>
      <c r="P103" s="213"/>
      <c r="Q103" s="211"/>
    </row>
    <row r="104" spans="1:17" x14ac:dyDescent="0.35">
      <c r="A104" s="212"/>
      <c r="B104" s="216">
        <v>500000</v>
      </c>
      <c r="C104" s="216">
        <f t="shared" ref="C104:C167" si="0">1.3/(2*PI()*C$8*0.001*$B104*10^-6)</f>
        <v>68.96714200648799</v>
      </c>
      <c r="D104" s="217">
        <f t="shared" ref="D104:D167" si="1">2/((2*PI()*$B104*10^-6)^2*33)*10^6</f>
        <v>6140.6777965053216</v>
      </c>
      <c r="E104" s="218">
        <f>1000000000/(PI()*SQRT(2*F104*C$13))</f>
        <v>9213239.9845538903</v>
      </c>
      <c r="F104" s="220">
        <f>F103-(F$103-F$107)/4</f>
        <v>7.1050347349955452</v>
      </c>
      <c r="G104" s="213"/>
      <c r="H104" s="213"/>
      <c r="I104" s="213">
        <v>14</v>
      </c>
      <c r="J104" s="213">
        <v>8.5272030651341009</v>
      </c>
      <c r="K104" s="213">
        <v>7.9954022988505749</v>
      </c>
      <c r="L104" s="213">
        <f t="shared" ref="L104:M116" si="2">J104/100*$C$23</f>
        <v>0.85272030651341013</v>
      </c>
      <c r="M104" s="213">
        <f t="shared" si="2"/>
        <v>0.79954022988505746</v>
      </c>
      <c r="N104" s="213">
        <f t="shared" ref="N104:N117" si="3">$C$33</f>
        <v>2</v>
      </c>
      <c r="O104" s="219">
        <f t="shared" ref="O104:O117" si="4">$C$25</f>
        <v>0.75</v>
      </c>
      <c r="P104" s="213"/>
      <c r="Q104" s="211"/>
    </row>
    <row r="105" spans="1:17" x14ac:dyDescent="0.35">
      <c r="A105" s="212"/>
      <c r="B105" s="216">
        <f>B104+B$103</f>
        <v>750000</v>
      </c>
      <c r="C105" s="216">
        <f t="shared" si="0"/>
        <v>45.978094670991986</v>
      </c>
      <c r="D105" s="217">
        <f t="shared" si="1"/>
        <v>2729.1901317801421</v>
      </c>
      <c r="E105" s="218">
        <f t="shared" ref="E105:E106" si="5">1000000000/(PI()*SQRT(2*F105*C$13))</f>
        <v>9854787.3460585084</v>
      </c>
      <c r="F105" s="220">
        <f t="shared" ref="F105:F106" si="6">F104-(F$103-F$107)/4</f>
        <v>6.2100694699910903</v>
      </c>
      <c r="G105" s="213"/>
      <c r="H105" s="213"/>
      <c r="I105" s="213">
        <v>13</v>
      </c>
      <c r="J105" s="213">
        <v>12.209961685823755</v>
      </c>
      <c r="K105" s="213">
        <v>11.578160919540201</v>
      </c>
      <c r="L105" s="213">
        <f t="shared" si="2"/>
        <v>1.2209961685823754</v>
      </c>
      <c r="M105" s="213">
        <f t="shared" si="2"/>
        <v>1.1578160919540201</v>
      </c>
      <c r="N105" s="213">
        <f t="shared" si="3"/>
        <v>2</v>
      </c>
      <c r="O105" s="219">
        <f t="shared" si="4"/>
        <v>0.75</v>
      </c>
      <c r="P105" s="213"/>
      <c r="Q105" s="211"/>
    </row>
    <row r="106" spans="1:17" x14ac:dyDescent="0.35">
      <c r="A106" s="212"/>
      <c r="B106" s="216">
        <f t="shared" ref="B106:B169" si="7">B105+B$103</f>
        <v>1000000</v>
      </c>
      <c r="C106" s="216">
        <f t="shared" si="0"/>
        <v>34.483571003243995</v>
      </c>
      <c r="D106" s="217">
        <f t="shared" si="1"/>
        <v>1535.1694491263304</v>
      </c>
      <c r="E106" s="218">
        <f t="shared" si="5"/>
        <v>10652206.935895316</v>
      </c>
      <c r="F106" s="220">
        <f t="shared" si="6"/>
        <v>5.3151042049866355</v>
      </c>
      <c r="G106" s="213"/>
      <c r="H106" s="213"/>
      <c r="I106" s="213">
        <v>12</v>
      </c>
      <c r="J106" s="213">
        <v>15.424137931034485</v>
      </c>
      <c r="K106" s="213">
        <v>14.71455938697318</v>
      </c>
      <c r="L106" s="213">
        <f t="shared" si="2"/>
        <v>1.5424137931034485</v>
      </c>
      <c r="M106" s="213">
        <f t="shared" si="2"/>
        <v>1.4714559386973181</v>
      </c>
      <c r="N106" s="213">
        <f t="shared" si="3"/>
        <v>2</v>
      </c>
      <c r="O106" s="219">
        <f t="shared" si="4"/>
        <v>0.75</v>
      </c>
      <c r="P106" s="213"/>
      <c r="Q106" s="211"/>
    </row>
    <row r="107" spans="1:17" x14ac:dyDescent="0.35">
      <c r="A107" s="212"/>
      <c r="B107" s="216">
        <f t="shared" si="7"/>
        <v>1250000</v>
      </c>
      <c r="C107" s="216">
        <f t="shared" si="0"/>
        <v>27.586856802595197</v>
      </c>
      <c r="D107" s="217">
        <f t="shared" si="1"/>
        <v>982.50844744085134</v>
      </c>
      <c r="E107" s="218">
        <f>C31*1000000</f>
        <v>11680932.814202566</v>
      </c>
      <c r="F107" s="220">
        <f>C30</f>
        <v>4.4201389399821789</v>
      </c>
      <c r="G107" s="213"/>
      <c r="H107" s="213"/>
      <c r="I107" s="213">
        <v>11</v>
      </c>
      <c r="J107" s="213">
        <v>18.627203065134101</v>
      </c>
      <c r="K107" s="213">
        <v>17.736015325670497</v>
      </c>
      <c r="L107" s="213">
        <f t="shared" si="2"/>
        <v>1.8627203065134101</v>
      </c>
      <c r="M107" s="213">
        <f t="shared" si="2"/>
        <v>1.7736015325670496</v>
      </c>
      <c r="N107" s="213">
        <f t="shared" si="3"/>
        <v>2</v>
      </c>
      <c r="O107" s="219">
        <f t="shared" si="4"/>
        <v>0.75</v>
      </c>
      <c r="P107" s="213"/>
      <c r="Q107" s="211"/>
    </row>
    <row r="108" spans="1:17" x14ac:dyDescent="0.35">
      <c r="A108" s="212"/>
      <c r="B108" s="216">
        <f t="shared" si="7"/>
        <v>1500000</v>
      </c>
      <c r="C108" s="216">
        <f t="shared" si="0"/>
        <v>22.989047335495993</v>
      </c>
      <c r="D108" s="217">
        <f t="shared" si="1"/>
        <v>682.29753294503553</v>
      </c>
      <c r="E108" s="218"/>
      <c r="F108" s="213"/>
      <c r="G108" s="213"/>
      <c r="H108" s="213"/>
      <c r="I108" s="213">
        <v>10</v>
      </c>
      <c r="J108" s="213">
        <v>21.622605363984675</v>
      </c>
      <c r="K108" s="213">
        <v>20.666666666666668</v>
      </c>
      <c r="L108" s="213">
        <f t="shared" si="2"/>
        <v>2.1622605363984677</v>
      </c>
      <c r="M108" s="213">
        <f t="shared" si="2"/>
        <v>2.0666666666666664</v>
      </c>
      <c r="N108" s="213">
        <f t="shared" si="3"/>
        <v>2</v>
      </c>
      <c r="O108" s="219">
        <f t="shared" si="4"/>
        <v>0.75</v>
      </c>
      <c r="P108" s="213"/>
      <c r="Q108" s="211"/>
    </row>
    <row r="109" spans="1:17" x14ac:dyDescent="0.35">
      <c r="A109" s="212"/>
      <c r="B109" s="216">
        <f t="shared" si="7"/>
        <v>1750000</v>
      </c>
      <c r="C109" s="216">
        <f t="shared" si="0"/>
        <v>19.704897716139428</v>
      </c>
      <c r="D109" s="217">
        <f t="shared" si="1"/>
        <v>501.27982012288322</v>
      </c>
      <c r="E109" s="218"/>
      <c r="F109" s="213"/>
      <c r="G109" s="213"/>
      <c r="H109" s="213"/>
      <c r="I109" s="213">
        <v>9</v>
      </c>
      <c r="J109" s="213">
        <v>24.501149425287355</v>
      </c>
      <c r="K109" s="213">
        <v>23.232183908045972</v>
      </c>
      <c r="L109" s="213">
        <f t="shared" si="2"/>
        <v>2.4501149425287356</v>
      </c>
      <c r="M109" s="213">
        <f t="shared" si="2"/>
        <v>2.3232183908045974</v>
      </c>
      <c r="N109" s="213">
        <f t="shared" si="3"/>
        <v>2</v>
      </c>
      <c r="O109" s="219">
        <f t="shared" si="4"/>
        <v>0.75</v>
      </c>
      <c r="P109" s="213"/>
      <c r="Q109" s="211"/>
    </row>
    <row r="110" spans="1:17" x14ac:dyDescent="0.35">
      <c r="A110" s="212"/>
      <c r="B110" s="216">
        <f t="shared" si="7"/>
        <v>2000000</v>
      </c>
      <c r="C110" s="216">
        <f t="shared" si="0"/>
        <v>17.241785501621997</v>
      </c>
      <c r="D110" s="217">
        <f t="shared" si="1"/>
        <v>383.7923622815826</v>
      </c>
      <c r="E110" s="218">
        <f>1000000000/(PI()*SQRT(2*F110*C$13))</f>
        <v>9228158.4081879687</v>
      </c>
      <c r="F110" s="213">
        <f>C10*C37</f>
        <v>7.0820810239999998</v>
      </c>
      <c r="G110" s="221" t="s">
        <v>506</v>
      </c>
      <c r="H110" s="213"/>
      <c r="I110" s="213">
        <v>8</v>
      </c>
      <c r="J110" s="213">
        <v>27.383524904214564</v>
      </c>
      <c r="K110" s="213">
        <v>25.91072796934866</v>
      </c>
      <c r="L110" s="213">
        <f t="shared" si="2"/>
        <v>2.7383524904214562</v>
      </c>
      <c r="M110" s="213">
        <f t="shared" si="2"/>
        <v>2.5910727969348657</v>
      </c>
      <c r="N110" s="213">
        <f t="shared" si="3"/>
        <v>2</v>
      </c>
      <c r="O110" s="219">
        <f t="shared" si="4"/>
        <v>0.75</v>
      </c>
      <c r="P110" s="213"/>
      <c r="Q110" s="211"/>
    </row>
    <row r="111" spans="1:17" x14ac:dyDescent="0.35">
      <c r="A111" s="212"/>
      <c r="B111" s="216">
        <f t="shared" si="7"/>
        <v>2250000</v>
      </c>
      <c r="C111" s="216">
        <f t="shared" si="0"/>
        <v>15.32603155699733</v>
      </c>
      <c r="D111" s="217">
        <f t="shared" si="1"/>
        <v>303.24334797557145</v>
      </c>
      <c r="E111" s="218">
        <f>1000000000/(PI()*SQRT(2*F111*C$13))</f>
        <v>9327382.5904130116</v>
      </c>
      <c r="F111" s="213">
        <f>C10*C47</f>
        <v>6.9322048982002862</v>
      </c>
      <c r="G111" s="221" t="s">
        <v>507</v>
      </c>
      <c r="H111" s="213"/>
      <c r="I111" s="213">
        <v>7</v>
      </c>
      <c r="J111" s="213">
        <v>30.434482758620693</v>
      </c>
      <c r="K111" s="213">
        <v>28.681992337164754</v>
      </c>
      <c r="L111" s="213">
        <f t="shared" si="2"/>
        <v>3.0434482758620689</v>
      </c>
      <c r="M111" s="213">
        <f t="shared" si="2"/>
        <v>2.8681992337164752</v>
      </c>
      <c r="N111" s="213">
        <f t="shared" si="3"/>
        <v>2</v>
      </c>
      <c r="O111" s="219">
        <f t="shared" si="4"/>
        <v>0.75</v>
      </c>
      <c r="P111" s="213"/>
      <c r="Q111" s="211"/>
    </row>
    <row r="112" spans="1:17" x14ac:dyDescent="0.35">
      <c r="A112" s="212"/>
      <c r="B112" s="216">
        <f t="shared" si="7"/>
        <v>2500000</v>
      </c>
      <c r="C112" s="216">
        <f t="shared" si="0"/>
        <v>13.793428401297598</v>
      </c>
      <c r="D112" s="217">
        <f t="shared" si="1"/>
        <v>245.62711186021284</v>
      </c>
      <c r="E112" s="213"/>
      <c r="F112" s="213"/>
      <c r="G112" s="213"/>
      <c r="H112" s="213"/>
      <c r="I112" s="213">
        <v>6</v>
      </c>
      <c r="J112" s="213">
        <v>33.48735632183908</v>
      </c>
      <c r="K112" s="213">
        <v>31.35325670498084</v>
      </c>
      <c r="L112" s="213">
        <f t="shared" si="2"/>
        <v>3.3487356321839079</v>
      </c>
      <c r="M112" s="213">
        <f t="shared" si="2"/>
        <v>3.1353256704980841</v>
      </c>
      <c r="N112" s="213">
        <f t="shared" si="3"/>
        <v>2</v>
      </c>
      <c r="O112" s="219">
        <f t="shared" si="4"/>
        <v>0.75</v>
      </c>
      <c r="P112" s="213"/>
      <c r="Q112" s="211"/>
    </row>
    <row r="113" spans="1:17" x14ac:dyDescent="0.35">
      <c r="A113" s="212"/>
      <c r="B113" s="216">
        <f t="shared" si="7"/>
        <v>2750000</v>
      </c>
      <c r="C113" s="216">
        <f t="shared" si="0"/>
        <v>12.539480364815997</v>
      </c>
      <c r="D113" s="217">
        <f t="shared" si="1"/>
        <v>202.99761310761392</v>
      </c>
      <c r="E113" s="213"/>
      <c r="F113" s="213"/>
      <c r="G113" s="213"/>
      <c r="H113" s="213"/>
      <c r="I113" s="213">
        <v>5</v>
      </c>
      <c r="J113" s="213">
        <v>36.708812260536398</v>
      </c>
      <c r="K113" s="213">
        <v>33.976245210727967</v>
      </c>
      <c r="L113" s="213">
        <f t="shared" si="2"/>
        <v>3.6708812260536399</v>
      </c>
      <c r="M113" s="213">
        <f t="shared" si="2"/>
        <v>3.3976245210727969</v>
      </c>
      <c r="N113" s="213">
        <f t="shared" si="3"/>
        <v>2</v>
      </c>
      <c r="O113" s="219">
        <f t="shared" si="4"/>
        <v>0.75</v>
      </c>
      <c r="P113" s="213"/>
      <c r="Q113" s="211"/>
    </row>
    <row r="114" spans="1:17" x14ac:dyDescent="0.35">
      <c r="A114" s="212"/>
      <c r="B114" s="216">
        <f t="shared" si="7"/>
        <v>3000000</v>
      </c>
      <c r="C114" s="216">
        <f t="shared" si="0"/>
        <v>11.494523667747996</v>
      </c>
      <c r="D114" s="217">
        <f t="shared" si="1"/>
        <v>170.57438323625888</v>
      </c>
      <c r="E114" s="213"/>
      <c r="F114" s="213"/>
      <c r="G114" s="213"/>
      <c r="H114" s="213"/>
      <c r="I114" s="213">
        <v>4</v>
      </c>
      <c r="J114" s="213">
        <v>40.039463601532567</v>
      </c>
      <c r="K114" s="213">
        <v>36.918007662835244</v>
      </c>
      <c r="L114" s="213">
        <f t="shared" si="2"/>
        <v>4.0039463601532566</v>
      </c>
      <c r="M114" s="213">
        <f t="shared" si="2"/>
        <v>3.6918007662835244</v>
      </c>
      <c r="N114" s="213">
        <f t="shared" si="3"/>
        <v>2</v>
      </c>
      <c r="O114" s="219">
        <f t="shared" si="4"/>
        <v>0.75</v>
      </c>
      <c r="P114" s="213"/>
      <c r="Q114" s="211"/>
    </row>
    <row r="115" spans="1:17" x14ac:dyDescent="0.35">
      <c r="A115" s="212"/>
      <c r="B115" s="216">
        <f t="shared" si="7"/>
        <v>3250000</v>
      </c>
      <c r="C115" s="216">
        <f t="shared" si="0"/>
        <v>10.610329539459689</v>
      </c>
      <c r="D115" s="217">
        <f t="shared" si="1"/>
        <v>145.34148630781823</v>
      </c>
      <c r="E115" s="213"/>
      <c r="F115" s="213"/>
      <c r="G115" s="213"/>
      <c r="H115" s="213"/>
      <c r="I115" s="213">
        <v>3</v>
      </c>
      <c r="J115" s="213">
        <v>43.125670498084297</v>
      </c>
      <c r="K115" s="213">
        <v>39.567049808429118</v>
      </c>
      <c r="L115" s="213">
        <f t="shared" si="2"/>
        <v>4.3125670498084299</v>
      </c>
      <c r="M115" s="213">
        <f t="shared" si="2"/>
        <v>3.9567049808429116</v>
      </c>
      <c r="N115" s="213">
        <f t="shared" si="3"/>
        <v>2</v>
      </c>
      <c r="O115" s="219">
        <f t="shared" si="4"/>
        <v>0.75</v>
      </c>
      <c r="P115" s="213"/>
      <c r="Q115" s="211"/>
    </row>
    <row r="116" spans="1:17" x14ac:dyDescent="0.35">
      <c r="A116" s="212"/>
      <c r="B116" s="216">
        <f t="shared" si="7"/>
        <v>3500000</v>
      </c>
      <c r="C116" s="216">
        <f t="shared" si="0"/>
        <v>9.8524488580697138</v>
      </c>
      <c r="D116" s="217">
        <f t="shared" si="1"/>
        <v>125.31995503072081</v>
      </c>
      <c r="E116" s="213"/>
      <c r="F116" s="213"/>
      <c r="G116" s="213"/>
      <c r="H116" s="213"/>
      <c r="I116" s="213">
        <v>2</v>
      </c>
      <c r="J116" s="213">
        <v>46.011877394636009</v>
      </c>
      <c r="K116" s="213">
        <v>41.769731800766287</v>
      </c>
      <c r="L116" s="213">
        <f t="shared" si="2"/>
        <v>4.6011877394636009</v>
      </c>
      <c r="M116" s="213">
        <f t="shared" si="2"/>
        <v>4.1769731800766285</v>
      </c>
      <c r="N116" s="213">
        <f t="shared" si="3"/>
        <v>2</v>
      </c>
      <c r="O116" s="219">
        <f t="shared" si="4"/>
        <v>0.75</v>
      </c>
      <c r="P116" s="213"/>
      <c r="Q116" s="211"/>
    </row>
    <row r="117" spans="1:17" x14ac:dyDescent="0.35">
      <c r="A117" s="212"/>
      <c r="B117" s="216">
        <f t="shared" si="7"/>
        <v>3750000</v>
      </c>
      <c r="C117" s="216">
        <f t="shared" si="0"/>
        <v>9.1956189341983983</v>
      </c>
      <c r="D117" s="217">
        <f t="shared" si="1"/>
        <v>109.16760527120572</v>
      </c>
      <c r="E117" s="213"/>
      <c r="F117" s="213"/>
      <c r="G117" s="213"/>
      <c r="H117" s="213"/>
      <c r="I117" s="213">
        <v>1</v>
      </c>
      <c r="J117" s="213">
        <v>49.546360153256707</v>
      </c>
      <c r="K117" s="213">
        <v>44.563218390804593</v>
      </c>
      <c r="L117" s="213">
        <f>J117/100*$C$23</f>
        <v>4.9546360153256703</v>
      </c>
      <c r="M117" s="213">
        <f>K117/100*$C$23</f>
        <v>4.4563218390804593</v>
      </c>
      <c r="N117" s="213">
        <f t="shared" si="3"/>
        <v>2</v>
      </c>
      <c r="O117" s="219">
        <f t="shared" si="4"/>
        <v>0.75</v>
      </c>
      <c r="P117" s="213"/>
      <c r="Q117" s="211"/>
    </row>
    <row r="118" spans="1:17" x14ac:dyDescent="0.35">
      <c r="A118" s="212"/>
      <c r="B118" s="216">
        <f t="shared" si="7"/>
        <v>4000000</v>
      </c>
      <c r="C118" s="216">
        <f t="shared" si="0"/>
        <v>8.6208927508109987</v>
      </c>
      <c r="D118" s="217">
        <f t="shared" si="1"/>
        <v>95.948090570395649</v>
      </c>
      <c r="E118" s="213"/>
      <c r="F118" s="213"/>
      <c r="G118" s="213"/>
      <c r="H118" s="213"/>
      <c r="I118" s="213"/>
      <c r="J118" s="213"/>
      <c r="K118" s="213"/>
      <c r="L118" s="213"/>
      <c r="M118" s="213"/>
      <c r="N118" s="213"/>
      <c r="O118" s="213"/>
      <c r="P118" s="213"/>
      <c r="Q118" s="211"/>
    </row>
    <row r="119" spans="1:17" x14ac:dyDescent="0.35">
      <c r="A119" s="212"/>
      <c r="B119" s="216">
        <f t="shared" si="7"/>
        <v>4250000</v>
      </c>
      <c r="C119" s="216">
        <f t="shared" si="0"/>
        <v>8.1137814125279988</v>
      </c>
      <c r="D119" s="217">
        <f t="shared" si="1"/>
        <v>84.992080228447335</v>
      </c>
      <c r="E119" s="213"/>
      <c r="F119" s="213"/>
      <c r="G119" s="213"/>
      <c r="H119" s="213"/>
      <c r="I119" s="213"/>
      <c r="J119" s="213"/>
      <c r="K119" s="213"/>
      <c r="L119" s="213"/>
      <c r="M119" s="213"/>
      <c r="N119" s="213"/>
      <c r="O119" s="213"/>
      <c r="P119" s="213"/>
    </row>
    <row r="120" spans="1:17" x14ac:dyDescent="0.35">
      <c r="A120" s="212"/>
      <c r="B120" s="216">
        <f t="shared" si="7"/>
        <v>4500000</v>
      </c>
      <c r="C120" s="216">
        <f t="shared" si="0"/>
        <v>7.6630157784986652</v>
      </c>
      <c r="D120" s="217">
        <f t="shared" si="1"/>
        <v>75.810836993892863</v>
      </c>
      <c r="E120" s="213"/>
      <c r="F120" s="213"/>
      <c r="G120" s="213"/>
      <c r="H120" s="213"/>
      <c r="I120" s="213"/>
      <c r="J120" s="213"/>
      <c r="K120" s="213"/>
      <c r="L120" s="213"/>
    </row>
    <row r="121" spans="1:17" x14ac:dyDescent="0.35">
      <c r="A121" s="212"/>
      <c r="B121" s="216">
        <f t="shared" si="7"/>
        <v>4750000</v>
      </c>
      <c r="C121" s="216">
        <f t="shared" si="0"/>
        <v>7.2596991585776829</v>
      </c>
      <c r="D121" s="217">
        <f t="shared" si="1"/>
        <v>68.040751207815177</v>
      </c>
      <c r="E121" s="213"/>
      <c r="F121" s="213"/>
      <c r="G121" s="213"/>
      <c r="H121" s="213"/>
      <c r="I121" s="213"/>
      <c r="J121" s="213"/>
      <c r="K121" s="213"/>
      <c r="L121" s="213"/>
    </row>
    <row r="122" spans="1:17" x14ac:dyDescent="0.35">
      <c r="A122" s="214"/>
      <c r="B122" s="216">
        <f t="shared" si="7"/>
        <v>5000000</v>
      </c>
      <c r="C122" s="216">
        <f t="shared" si="0"/>
        <v>6.8967142006487991</v>
      </c>
      <c r="D122" s="217">
        <f t="shared" si="1"/>
        <v>61.406777965053209</v>
      </c>
      <c r="E122" s="213"/>
      <c r="F122" s="213"/>
      <c r="G122" s="213"/>
      <c r="H122" s="213"/>
      <c r="I122" s="213"/>
      <c r="J122" s="213"/>
      <c r="K122" s="213"/>
      <c r="L122" s="213"/>
    </row>
    <row r="123" spans="1:17" x14ac:dyDescent="0.35">
      <c r="A123" s="214"/>
      <c r="B123" s="216">
        <f t="shared" si="7"/>
        <v>5250000</v>
      </c>
      <c r="C123" s="216">
        <f t="shared" si="0"/>
        <v>6.5682992387131414</v>
      </c>
      <c r="D123" s="217">
        <f t="shared" si="1"/>
        <v>55.697757791431471</v>
      </c>
      <c r="E123" s="213"/>
      <c r="F123" s="213"/>
      <c r="G123" s="213"/>
      <c r="H123" s="213"/>
      <c r="I123" s="213"/>
      <c r="J123" s="213"/>
      <c r="K123" s="213"/>
      <c r="L123" s="213"/>
    </row>
    <row r="124" spans="1:17" x14ac:dyDescent="0.35">
      <c r="A124" s="214"/>
      <c r="B124" s="216">
        <f t="shared" si="7"/>
        <v>5500000</v>
      </c>
      <c r="C124" s="216">
        <f t="shared" si="0"/>
        <v>6.2697401824079986</v>
      </c>
      <c r="D124" s="217">
        <f t="shared" si="1"/>
        <v>50.749403276903479</v>
      </c>
      <c r="E124" s="213"/>
      <c r="F124" s="213"/>
      <c r="G124" s="213"/>
      <c r="H124" s="213"/>
      <c r="I124" s="213"/>
      <c r="J124" s="213"/>
      <c r="K124" s="213"/>
      <c r="L124" s="213"/>
    </row>
    <row r="125" spans="1:17" x14ac:dyDescent="0.35">
      <c r="A125" s="214"/>
      <c r="B125" s="216">
        <f t="shared" si="7"/>
        <v>5750000</v>
      </c>
      <c r="C125" s="216">
        <f t="shared" si="0"/>
        <v>5.997142783172869</v>
      </c>
      <c r="D125" s="217">
        <f t="shared" si="1"/>
        <v>46.432346287374834</v>
      </c>
      <c r="E125" s="213"/>
      <c r="F125" s="213"/>
      <c r="G125" s="213"/>
      <c r="H125" s="213"/>
      <c r="I125" s="213"/>
      <c r="J125" s="213"/>
      <c r="K125" s="213"/>
      <c r="L125" s="213"/>
    </row>
    <row r="126" spans="1:17" x14ac:dyDescent="0.35">
      <c r="A126" s="214"/>
      <c r="B126" s="216">
        <f t="shared" si="7"/>
        <v>6000000</v>
      </c>
      <c r="C126" s="216">
        <f t="shared" si="0"/>
        <v>5.7472618338739982</v>
      </c>
      <c r="D126" s="217">
        <f t="shared" si="1"/>
        <v>42.64359580906472</v>
      </c>
      <c r="E126" s="213"/>
      <c r="F126" s="213"/>
      <c r="G126" s="213"/>
      <c r="H126" s="213"/>
      <c r="I126" s="213"/>
      <c r="J126" s="213"/>
      <c r="K126" s="213"/>
      <c r="L126" s="213"/>
    </row>
    <row r="127" spans="1:17" x14ac:dyDescent="0.35">
      <c r="A127" s="214"/>
      <c r="B127" s="216">
        <f t="shared" si="7"/>
        <v>6250000</v>
      </c>
      <c r="C127" s="216">
        <f t="shared" si="0"/>
        <v>5.5173713605190384</v>
      </c>
      <c r="D127" s="217">
        <f t="shared" si="1"/>
        <v>39.300337897634058</v>
      </c>
      <c r="E127" s="213"/>
      <c r="F127" s="213"/>
      <c r="G127" s="213"/>
      <c r="H127" s="213"/>
      <c r="I127" s="213"/>
      <c r="J127" s="213"/>
      <c r="K127" s="213"/>
      <c r="L127" s="213"/>
    </row>
    <row r="128" spans="1:17" x14ac:dyDescent="0.35">
      <c r="A128" s="214"/>
      <c r="B128" s="216">
        <f t="shared" si="7"/>
        <v>6500000</v>
      </c>
      <c r="C128" s="216">
        <f t="shared" si="0"/>
        <v>5.3051647697298447</v>
      </c>
      <c r="D128" s="217">
        <f t="shared" si="1"/>
        <v>36.335371576954557</v>
      </c>
      <c r="E128" s="213"/>
      <c r="F128" s="213"/>
      <c r="G128" s="213"/>
      <c r="H128" s="213"/>
      <c r="I128" s="213"/>
      <c r="J128" s="213"/>
      <c r="K128" s="213"/>
      <c r="L128" s="213"/>
    </row>
    <row r="129" spans="1:12" x14ac:dyDescent="0.35">
      <c r="A129" s="214"/>
      <c r="B129" s="216">
        <f t="shared" si="7"/>
        <v>6750000</v>
      </c>
      <c r="C129" s="216">
        <f t="shared" si="0"/>
        <v>5.1086771856657771</v>
      </c>
      <c r="D129" s="217">
        <f t="shared" si="1"/>
        <v>33.693705330619039</v>
      </c>
      <c r="E129" s="213"/>
      <c r="F129" s="213"/>
      <c r="G129" s="213"/>
      <c r="H129" s="213"/>
      <c r="I129" s="213"/>
      <c r="J129" s="213"/>
      <c r="K129" s="213"/>
      <c r="L129" s="213"/>
    </row>
    <row r="130" spans="1:12" x14ac:dyDescent="0.35">
      <c r="A130" s="214"/>
      <c r="B130" s="216">
        <f t="shared" si="7"/>
        <v>7000000</v>
      </c>
      <c r="C130" s="216">
        <f t="shared" si="0"/>
        <v>4.9262244290348569</v>
      </c>
      <c r="D130" s="217">
        <f t="shared" si="1"/>
        <v>31.329988757680201</v>
      </c>
      <c r="E130" s="213"/>
      <c r="F130" s="213"/>
      <c r="G130" s="213"/>
      <c r="H130" s="213"/>
      <c r="I130" s="213"/>
      <c r="J130" s="213"/>
      <c r="K130" s="213"/>
      <c r="L130" s="213"/>
    </row>
    <row r="131" spans="1:12" x14ac:dyDescent="0.35">
      <c r="A131" s="214"/>
      <c r="B131" s="216">
        <f t="shared" si="7"/>
        <v>7250000</v>
      </c>
      <c r="C131" s="216">
        <f t="shared" si="0"/>
        <v>4.7563546211371026</v>
      </c>
      <c r="D131" s="217">
        <f t="shared" si="1"/>
        <v>29.206553134389154</v>
      </c>
      <c r="E131" s="213"/>
      <c r="F131" s="213"/>
      <c r="G131" s="213"/>
      <c r="H131" s="213"/>
      <c r="I131" s="213"/>
      <c r="J131" s="213"/>
      <c r="K131" s="213"/>
      <c r="L131" s="213"/>
    </row>
    <row r="132" spans="1:12" x14ac:dyDescent="0.35">
      <c r="A132" s="214"/>
      <c r="B132" s="216">
        <f t="shared" si="7"/>
        <v>7500000</v>
      </c>
      <c r="C132" s="216">
        <f t="shared" si="0"/>
        <v>4.5978094670991991</v>
      </c>
      <c r="D132" s="217">
        <f t="shared" si="1"/>
        <v>27.291901317801429</v>
      </c>
      <c r="E132" s="213"/>
      <c r="F132" s="213"/>
      <c r="G132" s="213"/>
      <c r="H132" s="213"/>
      <c r="I132" s="213"/>
      <c r="J132" s="213"/>
      <c r="K132" s="213"/>
      <c r="L132" s="213"/>
    </row>
    <row r="133" spans="1:12" x14ac:dyDescent="0.35">
      <c r="A133" s="214"/>
      <c r="B133" s="216">
        <f t="shared" si="7"/>
        <v>7750000</v>
      </c>
      <c r="C133" s="216">
        <f t="shared" si="0"/>
        <v>4.4494930326766449</v>
      </c>
      <c r="D133" s="217">
        <f t="shared" si="1"/>
        <v>25.559532971926409</v>
      </c>
      <c r="E133" s="213"/>
      <c r="F133" s="213"/>
      <c r="G133" s="213"/>
      <c r="H133" s="213"/>
      <c r="I133" s="213"/>
      <c r="J133" s="213"/>
      <c r="K133" s="213"/>
      <c r="L133" s="213"/>
    </row>
    <row r="134" spans="1:12" x14ac:dyDescent="0.35">
      <c r="A134" s="214"/>
      <c r="B134" s="216">
        <f t="shared" si="7"/>
        <v>8000000</v>
      </c>
      <c r="C134" s="216">
        <f t="shared" si="0"/>
        <v>4.3104463754054994</v>
      </c>
      <c r="D134" s="217">
        <f t="shared" si="1"/>
        <v>23.987022642598912</v>
      </c>
      <c r="E134" s="213"/>
      <c r="F134" s="213"/>
      <c r="G134" s="213"/>
      <c r="H134" s="213"/>
      <c r="I134" s="213"/>
      <c r="J134" s="213"/>
      <c r="K134" s="213"/>
      <c r="L134" s="213"/>
    </row>
    <row r="135" spans="1:12" x14ac:dyDescent="0.35">
      <c r="A135" s="214"/>
      <c r="B135" s="216">
        <f t="shared" si="7"/>
        <v>8250000</v>
      </c>
      <c r="C135" s="216">
        <f t="shared" si="0"/>
        <v>4.179826788271999</v>
      </c>
      <c r="D135" s="217">
        <f t="shared" si="1"/>
        <v>22.55529034529043</v>
      </c>
      <c r="E135" s="213"/>
      <c r="F135" s="213"/>
      <c r="G135" s="213"/>
      <c r="H135" s="213"/>
      <c r="I135" s="213"/>
      <c r="J135" s="213"/>
      <c r="K135" s="213"/>
      <c r="L135" s="213"/>
    </row>
    <row r="136" spans="1:12" x14ac:dyDescent="0.35">
      <c r="A136" s="214"/>
      <c r="B136" s="216">
        <f t="shared" si="7"/>
        <v>8500000</v>
      </c>
      <c r="C136" s="216">
        <f t="shared" si="0"/>
        <v>4.0568907062639994</v>
      </c>
      <c r="D136" s="217">
        <f t="shared" si="1"/>
        <v>21.248020057111834</v>
      </c>
      <c r="E136" s="213"/>
      <c r="F136" s="213"/>
      <c r="G136" s="213"/>
      <c r="H136" s="213"/>
      <c r="I136" s="213"/>
      <c r="J136" s="213"/>
      <c r="K136" s="213"/>
      <c r="L136" s="213"/>
    </row>
    <row r="137" spans="1:12" x14ac:dyDescent="0.35">
      <c r="A137" s="214"/>
      <c r="B137" s="216">
        <f t="shared" si="7"/>
        <v>8750000</v>
      </c>
      <c r="C137" s="216">
        <f t="shared" si="0"/>
        <v>3.9409795432278845</v>
      </c>
      <c r="D137" s="217">
        <f t="shared" si="1"/>
        <v>20.051192804915331</v>
      </c>
      <c r="E137" s="213"/>
      <c r="F137" s="213"/>
      <c r="G137" s="213"/>
      <c r="H137" s="213"/>
      <c r="I137" s="213"/>
      <c r="J137" s="213"/>
      <c r="K137" s="213"/>
      <c r="L137" s="213"/>
    </row>
    <row r="138" spans="1:12" x14ac:dyDescent="0.35">
      <c r="A138" s="214"/>
      <c r="B138" s="216">
        <f t="shared" si="7"/>
        <v>9000000</v>
      </c>
      <c r="C138" s="216">
        <f t="shared" si="0"/>
        <v>3.8315078892493326</v>
      </c>
      <c r="D138" s="217">
        <f t="shared" si="1"/>
        <v>18.952709248473216</v>
      </c>
      <c r="E138" s="213"/>
      <c r="F138" s="213"/>
      <c r="G138" s="213"/>
      <c r="H138" s="213"/>
      <c r="I138" s="213"/>
      <c r="J138" s="213"/>
      <c r="K138" s="213"/>
      <c r="L138" s="213"/>
    </row>
    <row r="139" spans="1:12" x14ac:dyDescent="0.35">
      <c r="A139" s="214"/>
      <c r="B139" s="216">
        <f t="shared" si="7"/>
        <v>9250000</v>
      </c>
      <c r="C139" s="216">
        <f t="shared" si="0"/>
        <v>3.7279536219723237</v>
      </c>
      <c r="D139" s="217">
        <f t="shared" si="1"/>
        <v>17.942082677882603</v>
      </c>
      <c r="E139" s="213"/>
      <c r="F139" s="213"/>
      <c r="G139" s="213"/>
      <c r="H139" s="213"/>
      <c r="I139" s="213"/>
      <c r="J139" s="213"/>
      <c r="K139" s="213"/>
      <c r="L139" s="213"/>
    </row>
    <row r="140" spans="1:12" x14ac:dyDescent="0.35">
      <c r="A140" s="214"/>
      <c r="B140" s="216">
        <f t="shared" si="7"/>
        <v>9500000</v>
      </c>
      <c r="C140" s="216">
        <f t="shared" si="0"/>
        <v>3.6298495792888414</v>
      </c>
      <c r="D140" s="217">
        <f t="shared" si="1"/>
        <v>17.010187801953794</v>
      </c>
      <c r="E140" s="213"/>
      <c r="F140" s="213"/>
      <c r="G140" s="213"/>
      <c r="H140" s="213"/>
      <c r="I140" s="213"/>
      <c r="J140" s="213"/>
      <c r="K140" s="213"/>
      <c r="L140" s="213"/>
    </row>
    <row r="141" spans="1:12" x14ac:dyDescent="0.35">
      <c r="A141" s="214"/>
      <c r="B141" s="216">
        <f t="shared" si="7"/>
        <v>9750000</v>
      </c>
      <c r="C141" s="216">
        <f t="shared" si="0"/>
        <v>3.5367765131532298</v>
      </c>
      <c r="D141" s="217">
        <f t="shared" si="1"/>
        <v>16.149054034202027</v>
      </c>
      <c r="E141" s="213"/>
      <c r="F141" s="213"/>
      <c r="G141" s="213"/>
      <c r="H141" s="213"/>
      <c r="I141" s="213"/>
      <c r="J141" s="213"/>
      <c r="K141" s="213"/>
      <c r="L141" s="213"/>
    </row>
    <row r="142" spans="1:12" x14ac:dyDescent="0.35">
      <c r="A142" s="214"/>
      <c r="B142" s="216">
        <f t="shared" si="7"/>
        <v>10000000</v>
      </c>
      <c r="C142" s="216">
        <f t="shared" si="0"/>
        <v>3.4483571003243996</v>
      </c>
      <c r="D142" s="217">
        <f t="shared" si="1"/>
        <v>15.351694491263302</v>
      </c>
      <c r="E142" s="213"/>
      <c r="F142" s="213"/>
      <c r="G142" s="213"/>
      <c r="H142" s="213"/>
      <c r="I142" s="213"/>
      <c r="J142" s="213"/>
      <c r="K142" s="213"/>
      <c r="L142" s="213"/>
    </row>
    <row r="143" spans="1:12" x14ac:dyDescent="0.35">
      <c r="A143" s="214"/>
      <c r="B143" s="216">
        <f t="shared" si="7"/>
        <v>10250000</v>
      </c>
      <c r="C143" s="216">
        <f t="shared" si="0"/>
        <v>3.3642508295847797</v>
      </c>
      <c r="D143" s="217">
        <f t="shared" si="1"/>
        <v>14.611963822737229</v>
      </c>
      <c r="E143" s="213"/>
      <c r="F143" s="213"/>
      <c r="G143" s="213"/>
      <c r="H143" s="213"/>
      <c r="I143" s="213"/>
      <c r="J143" s="213"/>
      <c r="K143" s="213"/>
      <c r="L143" s="213"/>
    </row>
    <row r="144" spans="1:12" x14ac:dyDescent="0.35">
      <c r="A144" s="214"/>
      <c r="B144" s="216">
        <f t="shared" si="7"/>
        <v>10500000</v>
      </c>
      <c r="C144" s="216">
        <f t="shared" si="0"/>
        <v>3.2841496193565707</v>
      </c>
      <c r="D144" s="217">
        <f t="shared" si="1"/>
        <v>13.924439447857868</v>
      </c>
      <c r="E144" s="213"/>
      <c r="F144" s="213"/>
      <c r="G144" s="213"/>
      <c r="H144" s="213"/>
      <c r="I144" s="213"/>
      <c r="J144" s="213"/>
      <c r="K144" s="213"/>
      <c r="L144" s="213"/>
    </row>
    <row r="145" spans="1:12" x14ac:dyDescent="0.35">
      <c r="A145" s="214"/>
      <c r="B145" s="216">
        <f t="shared" si="7"/>
        <v>10750000</v>
      </c>
      <c r="C145" s="216">
        <f t="shared" si="0"/>
        <v>3.2077740468133946</v>
      </c>
      <c r="D145" s="217">
        <f t="shared" si="1"/>
        <v>13.284321896171596</v>
      </c>
      <c r="E145" s="213"/>
      <c r="F145" s="213"/>
      <c r="G145" s="213"/>
      <c r="H145" s="213"/>
      <c r="I145" s="213"/>
      <c r="J145" s="213"/>
      <c r="K145" s="213"/>
      <c r="L145" s="213"/>
    </row>
    <row r="146" spans="1:12" x14ac:dyDescent="0.35">
      <c r="A146" s="214"/>
      <c r="B146" s="216">
        <f t="shared" si="7"/>
        <v>11000000</v>
      </c>
      <c r="C146" s="216">
        <f t="shared" si="0"/>
        <v>3.1348700912039993</v>
      </c>
      <c r="D146" s="217">
        <f t="shared" si="1"/>
        <v>12.68735081922587</v>
      </c>
      <c r="E146" s="213"/>
      <c r="F146" s="213"/>
      <c r="G146" s="213"/>
      <c r="H146" s="213"/>
      <c r="I146" s="213"/>
      <c r="J146" s="213"/>
      <c r="K146" s="213"/>
      <c r="L146" s="213"/>
    </row>
    <row r="147" spans="1:12" x14ac:dyDescent="0.35">
      <c r="A147" s="214"/>
      <c r="B147" s="216">
        <f t="shared" si="7"/>
        <v>11250000</v>
      </c>
      <c r="C147" s="216">
        <f t="shared" si="0"/>
        <v>3.0652063113994661</v>
      </c>
      <c r="D147" s="217">
        <f t="shared" si="1"/>
        <v>12.129733919022854</v>
      </c>
      <c r="E147" s="213"/>
      <c r="F147" s="213"/>
      <c r="G147" s="213"/>
      <c r="H147" s="213"/>
      <c r="I147" s="213"/>
      <c r="J147" s="213"/>
      <c r="K147" s="213"/>
      <c r="L147" s="213"/>
    </row>
    <row r="148" spans="1:12" x14ac:dyDescent="0.35">
      <c r="A148" s="214"/>
      <c r="B148" s="216">
        <f t="shared" si="7"/>
        <v>11500000</v>
      </c>
      <c r="C148" s="216">
        <f t="shared" si="0"/>
        <v>2.9985713915864345</v>
      </c>
      <c r="D148" s="217">
        <f t="shared" si="1"/>
        <v>11.608086571843709</v>
      </c>
      <c r="E148" s="213"/>
      <c r="F148" s="213"/>
      <c r="G148" s="213"/>
      <c r="H148" s="213"/>
      <c r="I148" s="213"/>
      <c r="J148" s="213"/>
      <c r="K148" s="213"/>
      <c r="L148" s="213"/>
    </row>
    <row r="149" spans="1:12" x14ac:dyDescent="0.35">
      <c r="A149" s="214"/>
      <c r="B149" s="216">
        <f t="shared" si="7"/>
        <v>11750000</v>
      </c>
      <c r="C149" s="216">
        <f t="shared" si="0"/>
        <v>2.9347720002760842</v>
      </c>
      <c r="D149" s="217">
        <f t="shared" si="1"/>
        <v>11.119380346772871</v>
      </c>
      <c r="E149" s="213"/>
      <c r="F149" s="213"/>
      <c r="G149" s="213"/>
      <c r="H149" s="213"/>
      <c r="I149" s="213"/>
      <c r="J149" s="213"/>
      <c r="K149" s="213"/>
      <c r="L149" s="213"/>
    </row>
    <row r="150" spans="1:12" x14ac:dyDescent="0.35">
      <c r="A150" s="214"/>
      <c r="B150" s="216">
        <f t="shared" si="7"/>
        <v>12000000</v>
      </c>
      <c r="C150" s="216">
        <f t="shared" si="0"/>
        <v>2.8736309169369991</v>
      </c>
      <c r="D150" s="217">
        <f t="shared" si="1"/>
        <v>10.66089895226618</v>
      </c>
      <c r="E150" s="213"/>
      <c r="F150" s="213"/>
      <c r="G150" s="213"/>
      <c r="H150" s="213"/>
      <c r="I150" s="213"/>
      <c r="J150" s="213"/>
      <c r="K150" s="213"/>
      <c r="L150" s="213"/>
    </row>
    <row r="151" spans="1:12" x14ac:dyDescent="0.35">
      <c r="A151" s="214"/>
      <c r="B151" s="216">
        <f t="shared" si="7"/>
        <v>12250000</v>
      </c>
      <c r="C151" s="216">
        <f t="shared" si="0"/>
        <v>2.814985388019918</v>
      </c>
      <c r="D151" s="217">
        <f t="shared" si="1"/>
        <v>10.23020041067109</v>
      </c>
      <c r="E151" s="213"/>
      <c r="F151" s="213"/>
      <c r="G151" s="213"/>
      <c r="H151" s="213"/>
      <c r="I151" s="213"/>
      <c r="J151" s="213"/>
      <c r="K151" s="213"/>
      <c r="L151" s="213"/>
    </row>
    <row r="152" spans="1:12" x14ac:dyDescent="0.35">
      <c r="A152" s="214"/>
      <c r="B152" s="216">
        <f t="shared" si="7"/>
        <v>12500000</v>
      </c>
      <c r="C152" s="216">
        <f t="shared" si="0"/>
        <v>2.7586856802595192</v>
      </c>
      <c r="D152" s="217">
        <f t="shared" si="1"/>
        <v>9.8250844744085146</v>
      </c>
      <c r="E152" s="213"/>
      <c r="F152" s="213"/>
      <c r="G152" s="213"/>
      <c r="H152" s="213"/>
      <c r="I152" s="213"/>
      <c r="J152" s="213"/>
      <c r="K152" s="213"/>
      <c r="L152" s="213"/>
    </row>
    <row r="153" spans="1:12" x14ac:dyDescent="0.35">
      <c r="A153" s="214"/>
      <c r="B153" s="216">
        <f t="shared" si="7"/>
        <v>12750000</v>
      </c>
      <c r="C153" s="216">
        <f t="shared" si="0"/>
        <v>2.7045938041759996</v>
      </c>
      <c r="D153" s="217">
        <f t="shared" si="1"/>
        <v>9.4435644698274821</v>
      </c>
      <c r="E153" s="213"/>
      <c r="F153" s="213"/>
      <c r="G153" s="213"/>
      <c r="H153" s="213"/>
      <c r="I153" s="213"/>
      <c r="J153" s="213"/>
      <c r="K153" s="213"/>
      <c r="L153" s="213"/>
    </row>
    <row r="154" spans="1:12" x14ac:dyDescent="0.35">
      <c r="A154" s="214"/>
      <c r="B154" s="216">
        <f t="shared" si="7"/>
        <v>13000000</v>
      </c>
      <c r="C154" s="216">
        <f t="shared" si="0"/>
        <v>2.6525823848649224</v>
      </c>
      <c r="D154" s="217">
        <f t="shared" si="1"/>
        <v>9.0838428942386393</v>
      </c>
      <c r="E154" s="213"/>
      <c r="F154" s="213"/>
      <c r="G154" s="213"/>
      <c r="H154" s="213"/>
      <c r="I154" s="213"/>
      <c r="J154" s="213"/>
      <c r="K154" s="213"/>
      <c r="L154" s="213"/>
    </row>
    <row r="155" spans="1:12" x14ac:dyDescent="0.35">
      <c r="A155" s="214"/>
      <c r="B155" s="216">
        <f t="shared" si="7"/>
        <v>13250000</v>
      </c>
      <c r="C155" s="216">
        <f t="shared" si="0"/>
        <v>2.6025336606221878</v>
      </c>
      <c r="D155" s="217">
        <f t="shared" si="1"/>
        <v>8.7442902050627573</v>
      </c>
      <c r="E155" s="213"/>
      <c r="F155" s="213"/>
      <c r="G155" s="213"/>
      <c r="H155" s="213"/>
      <c r="I155" s="213"/>
      <c r="J155" s="213"/>
      <c r="K155" s="213"/>
      <c r="L155" s="213"/>
    </row>
    <row r="156" spans="1:12" x14ac:dyDescent="0.35">
      <c r="A156" s="214"/>
      <c r="B156" s="216">
        <f t="shared" si="7"/>
        <v>13500000</v>
      </c>
      <c r="C156" s="216">
        <f t="shared" si="0"/>
        <v>2.5543385928328886</v>
      </c>
      <c r="D156" s="217">
        <f t="shared" si="1"/>
        <v>8.4234263326547598</v>
      </c>
      <c r="E156" s="213"/>
      <c r="F156" s="213"/>
      <c r="G156" s="213"/>
      <c r="H156" s="213"/>
      <c r="I156" s="213"/>
      <c r="J156" s="213"/>
      <c r="K156" s="213"/>
      <c r="L156" s="213"/>
    </row>
    <row r="157" spans="1:12" x14ac:dyDescent="0.35">
      <c r="A157" s="214"/>
      <c r="B157" s="216">
        <f t="shared" si="7"/>
        <v>13750000</v>
      </c>
      <c r="C157" s="216">
        <f t="shared" si="0"/>
        <v>2.5078960729631996</v>
      </c>
      <c r="D157" s="217">
        <f t="shared" si="1"/>
        <v>8.1199045243045536</v>
      </c>
      <c r="E157" s="213"/>
      <c r="F157" s="213"/>
      <c r="G157" s="213"/>
      <c r="H157" s="213"/>
      <c r="I157" s="213"/>
      <c r="J157" s="213"/>
      <c r="K157" s="213"/>
      <c r="L157" s="213"/>
    </row>
    <row r="158" spans="1:12" x14ac:dyDescent="0.35">
      <c r="A158" s="214"/>
      <c r="B158" s="216">
        <f t="shared" si="7"/>
        <v>14000000</v>
      </c>
      <c r="C158" s="216">
        <f t="shared" si="0"/>
        <v>2.4631122145174285</v>
      </c>
      <c r="D158" s="217">
        <f t="shared" si="1"/>
        <v>7.8324971894200504</v>
      </c>
      <c r="E158" s="213"/>
      <c r="F158" s="213"/>
      <c r="G158" s="213"/>
      <c r="H158" s="213"/>
      <c r="I158" s="213"/>
      <c r="J158" s="213"/>
      <c r="K158" s="213"/>
      <c r="L158" s="213"/>
    </row>
    <row r="159" spans="1:12" x14ac:dyDescent="0.35">
      <c r="A159" s="214"/>
      <c r="B159" s="216">
        <f t="shared" si="7"/>
        <v>14250000</v>
      </c>
      <c r="C159" s="216">
        <f t="shared" si="0"/>
        <v>2.4198997195258944</v>
      </c>
      <c r="D159" s="217">
        <f t="shared" si="1"/>
        <v>7.560083467535021</v>
      </c>
      <c r="E159" s="213"/>
      <c r="F159" s="213"/>
      <c r="G159" s="213"/>
      <c r="H159" s="213"/>
      <c r="I159" s="213"/>
      <c r="J159" s="213"/>
      <c r="K159" s="213"/>
      <c r="L159" s="213"/>
    </row>
    <row r="160" spans="1:12" x14ac:dyDescent="0.35">
      <c r="A160" s="214"/>
      <c r="B160" s="216">
        <f t="shared" si="7"/>
        <v>14500000</v>
      </c>
      <c r="C160" s="216">
        <f t="shared" si="0"/>
        <v>2.3781773105685513</v>
      </c>
      <c r="D160" s="217">
        <f t="shared" si="1"/>
        <v>7.3016382835972884</v>
      </c>
      <c r="E160" s="213"/>
      <c r="F160" s="213"/>
      <c r="G160" s="213"/>
      <c r="H160" s="213"/>
      <c r="I160" s="213"/>
      <c r="J160" s="213"/>
      <c r="K160" s="213"/>
      <c r="L160" s="213"/>
    </row>
    <row r="161" spans="1:12" x14ac:dyDescent="0.35">
      <c r="A161" s="214"/>
      <c r="B161" s="216">
        <f t="shared" si="7"/>
        <v>14750000</v>
      </c>
      <c r="C161" s="216">
        <f t="shared" si="0"/>
        <v>2.3378692205589147</v>
      </c>
      <c r="D161" s="217">
        <f t="shared" si="1"/>
        <v>7.0562226906122607</v>
      </c>
      <c r="E161" s="213"/>
      <c r="F161" s="213"/>
      <c r="G161" s="213"/>
      <c r="H161" s="213"/>
      <c r="I161" s="213"/>
      <c r="J161" s="213"/>
      <c r="K161" s="213"/>
      <c r="L161" s="213"/>
    </row>
    <row r="162" spans="1:12" x14ac:dyDescent="0.35">
      <c r="A162" s="214"/>
      <c r="B162" s="216">
        <f t="shared" si="7"/>
        <v>15000000</v>
      </c>
      <c r="C162" s="216">
        <f t="shared" si="0"/>
        <v>2.2989047335495996</v>
      </c>
      <c r="D162" s="217">
        <f t="shared" si="1"/>
        <v>6.8229753294503572</v>
      </c>
      <c r="E162" s="213"/>
      <c r="F162" s="213"/>
      <c r="G162" s="213"/>
      <c r="H162" s="213"/>
      <c r="I162" s="213"/>
      <c r="J162" s="213"/>
      <c r="K162" s="213"/>
      <c r="L162" s="213"/>
    </row>
    <row r="163" spans="1:12" x14ac:dyDescent="0.35">
      <c r="A163" s="214"/>
      <c r="B163" s="216">
        <f t="shared" si="7"/>
        <v>15250000</v>
      </c>
      <c r="C163" s="216">
        <f t="shared" si="0"/>
        <v>2.261217770704524</v>
      </c>
      <c r="D163" s="217">
        <f t="shared" si="1"/>
        <v>6.6011048605270854</v>
      </c>
      <c r="E163" s="213"/>
      <c r="F163" s="213"/>
      <c r="G163" s="213"/>
      <c r="H163" s="213"/>
      <c r="I163" s="213"/>
      <c r="J163" s="213"/>
      <c r="K163" s="213"/>
      <c r="L163" s="213"/>
    </row>
    <row r="164" spans="1:12" x14ac:dyDescent="0.35">
      <c r="A164" s="214"/>
      <c r="B164" s="216">
        <f t="shared" si="7"/>
        <v>15500000</v>
      </c>
      <c r="C164" s="216">
        <f t="shared" si="0"/>
        <v>2.2247465163383224</v>
      </c>
      <c r="D164" s="217">
        <f t="shared" si="1"/>
        <v>6.3898832429816022</v>
      </c>
      <c r="E164" s="213"/>
      <c r="F164" s="213"/>
      <c r="G164" s="213"/>
      <c r="H164" s="213"/>
      <c r="I164" s="213"/>
      <c r="J164" s="213"/>
      <c r="K164" s="213"/>
      <c r="L164" s="213"/>
    </row>
    <row r="165" spans="1:12" x14ac:dyDescent="0.35">
      <c r="A165" s="214"/>
      <c r="B165" s="216">
        <f t="shared" si="7"/>
        <v>15750000</v>
      </c>
      <c r="C165" s="216">
        <f t="shared" si="0"/>
        <v>2.1894330795710473</v>
      </c>
      <c r="D165" s="217">
        <f t="shared" si="1"/>
        <v>6.1886397546034981</v>
      </c>
      <c r="E165" s="213"/>
      <c r="F165" s="213"/>
      <c r="G165" s="213"/>
      <c r="H165" s="213"/>
      <c r="I165" s="213"/>
      <c r="J165" s="213"/>
      <c r="K165" s="213"/>
      <c r="L165" s="213"/>
    </row>
    <row r="166" spans="1:12" x14ac:dyDescent="0.35">
      <c r="A166" s="214"/>
      <c r="B166" s="216">
        <f t="shared" si="7"/>
        <v>16000000</v>
      </c>
      <c r="C166" s="216">
        <f t="shared" si="0"/>
        <v>2.1552231877027497</v>
      </c>
      <c r="D166" s="217">
        <f t="shared" si="1"/>
        <v>5.9967556606497281</v>
      </c>
      <c r="E166" s="213"/>
      <c r="F166" s="213"/>
      <c r="G166" s="213"/>
      <c r="H166" s="213"/>
      <c r="I166" s="213"/>
      <c r="J166" s="213"/>
      <c r="K166" s="213"/>
      <c r="L166" s="213"/>
    </row>
    <row r="167" spans="1:12" x14ac:dyDescent="0.35">
      <c r="A167" s="214"/>
      <c r="B167" s="216">
        <f t="shared" si="7"/>
        <v>16250000</v>
      </c>
      <c r="C167" s="216">
        <f t="shared" si="0"/>
        <v>2.1220659078919382</v>
      </c>
      <c r="D167" s="217">
        <f t="shared" si="1"/>
        <v>5.813659452312729</v>
      </c>
      <c r="E167" s="213"/>
      <c r="F167" s="213"/>
      <c r="G167" s="213"/>
      <c r="H167" s="213"/>
      <c r="I167" s="213"/>
      <c r="J167" s="213"/>
      <c r="K167" s="213"/>
      <c r="L167" s="213"/>
    </row>
    <row r="168" spans="1:12" x14ac:dyDescent="0.35">
      <c r="A168" s="214"/>
      <c r="B168" s="216">
        <f t="shared" si="7"/>
        <v>16500000</v>
      </c>
      <c r="C168" s="216">
        <f t="shared" ref="C168:C181" si="8">1.3/(2*PI()*C$8*0.001*$B168*10^-6)</f>
        <v>2.0899133941359995</v>
      </c>
      <c r="D168" s="217">
        <f t="shared" ref="D168:D181" si="9">2/((2*PI()*$B168*10^-6)^2*33)*10^6</f>
        <v>5.6388225863226076</v>
      </c>
      <c r="E168" s="213"/>
      <c r="F168" s="213"/>
      <c r="G168" s="213"/>
      <c r="H168" s="213"/>
      <c r="I168" s="213"/>
      <c r="J168" s="213"/>
      <c r="K168" s="213"/>
      <c r="L168" s="213"/>
    </row>
    <row r="169" spans="1:12" x14ac:dyDescent="0.35">
      <c r="A169" s="214"/>
      <c r="B169" s="216">
        <f t="shared" si="7"/>
        <v>16750000</v>
      </c>
      <c r="C169" s="216">
        <f t="shared" si="8"/>
        <v>2.0587206569100895</v>
      </c>
      <c r="D169" s="217">
        <f t="shared" si="9"/>
        <v>5.4717556663001288</v>
      </c>
      <c r="E169" s="213"/>
      <c r="F169" s="213"/>
      <c r="G169" s="213"/>
      <c r="H169" s="213"/>
      <c r="I169" s="213"/>
      <c r="J169" s="213"/>
      <c r="K169" s="213"/>
      <c r="L169" s="213"/>
    </row>
    <row r="170" spans="1:12" x14ac:dyDescent="0.35">
      <c r="A170" s="214"/>
      <c r="B170" s="216">
        <f t="shared" ref="B170:B181" si="10">B169+B$103</f>
        <v>17000000</v>
      </c>
      <c r="C170" s="216">
        <f t="shared" si="8"/>
        <v>2.0284453531319997</v>
      </c>
      <c r="D170" s="217">
        <f t="shared" si="9"/>
        <v>5.3120050142779585</v>
      </c>
      <c r="E170" s="213"/>
      <c r="F170" s="213"/>
      <c r="G170" s="213"/>
      <c r="H170" s="213"/>
      <c r="I170" s="213"/>
      <c r="J170" s="213"/>
      <c r="K170" s="213"/>
      <c r="L170" s="213"/>
    </row>
    <row r="171" spans="1:12" x14ac:dyDescent="0.35">
      <c r="A171" s="214"/>
      <c r="B171" s="216">
        <f t="shared" si="10"/>
        <v>17250000</v>
      </c>
      <c r="C171" s="216">
        <f t="shared" si="8"/>
        <v>1.9990475943909563</v>
      </c>
      <c r="D171" s="217">
        <f t="shared" si="9"/>
        <v>5.1591495874860911</v>
      </c>
      <c r="E171" s="213"/>
      <c r="F171" s="213"/>
      <c r="G171" s="213"/>
      <c r="H171" s="213"/>
      <c r="I171" s="213"/>
      <c r="J171" s="213"/>
      <c r="K171" s="213"/>
      <c r="L171" s="213"/>
    </row>
    <row r="172" spans="1:12" x14ac:dyDescent="0.35">
      <c r="A172" s="214"/>
      <c r="B172" s="216">
        <f t="shared" si="10"/>
        <v>17500000</v>
      </c>
      <c r="C172" s="216">
        <f t="shared" si="8"/>
        <v>1.9704897716139422</v>
      </c>
      <c r="D172" s="217">
        <f t="shared" si="9"/>
        <v>5.0127982012288328</v>
      </c>
      <c r="E172" s="213"/>
      <c r="F172" s="213"/>
      <c r="G172" s="213"/>
      <c r="H172" s="213"/>
      <c r="I172" s="213"/>
      <c r="J172" s="213"/>
      <c r="K172" s="213"/>
      <c r="L172" s="213"/>
    </row>
    <row r="173" spans="1:12" x14ac:dyDescent="0.35">
      <c r="A173" s="214"/>
      <c r="B173" s="216">
        <f t="shared" si="10"/>
        <v>17750000</v>
      </c>
      <c r="C173" s="216">
        <f t="shared" si="8"/>
        <v>1.9427363945489573</v>
      </c>
      <c r="D173" s="217">
        <f t="shared" si="9"/>
        <v>4.8725870236106497</v>
      </c>
      <c r="E173" s="213"/>
      <c r="F173" s="213"/>
      <c r="G173" s="213"/>
      <c r="H173" s="213"/>
      <c r="I173" s="213"/>
      <c r="J173" s="213"/>
      <c r="K173" s="213"/>
      <c r="L173" s="213"/>
    </row>
    <row r="174" spans="1:12" x14ac:dyDescent="0.35">
      <c r="A174" s="214"/>
      <c r="B174" s="216">
        <f t="shared" si="10"/>
        <v>18000000</v>
      </c>
      <c r="C174" s="216">
        <f t="shared" si="8"/>
        <v>1.9157539446246663</v>
      </c>
      <c r="D174" s="217">
        <f t="shared" si="9"/>
        <v>4.738177312118304</v>
      </c>
      <c r="E174" s="213"/>
      <c r="F174" s="213"/>
      <c r="G174" s="213"/>
      <c r="H174" s="213"/>
      <c r="I174" s="213"/>
      <c r="J174" s="213"/>
      <c r="K174" s="213"/>
      <c r="L174" s="213"/>
    </row>
    <row r="175" spans="1:12" x14ac:dyDescent="0.35">
      <c r="A175" s="214"/>
      <c r="B175" s="216">
        <f t="shared" si="10"/>
        <v>18250000</v>
      </c>
      <c r="C175" s="216">
        <f t="shared" si="8"/>
        <v>1.8895107399037805</v>
      </c>
      <c r="D175" s="217">
        <f t="shared" si="9"/>
        <v>4.6092533657386534</v>
      </c>
      <c r="E175" s="213"/>
      <c r="F175" s="214"/>
      <c r="G175" s="214"/>
      <c r="H175" s="214"/>
      <c r="I175" s="211"/>
      <c r="J175" s="211"/>
      <c r="K175" s="211"/>
    </row>
    <row r="176" spans="1:12" x14ac:dyDescent="0.35">
      <c r="A176" s="214"/>
      <c r="B176" s="216">
        <f t="shared" si="10"/>
        <v>18500000</v>
      </c>
      <c r="C176" s="216">
        <f t="shared" si="8"/>
        <v>1.8639768109861619</v>
      </c>
      <c r="D176" s="217">
        <f t="shared" si="9"/>
        <v>4.4855206694706506</v>
      </c>
      <c r="E176" s="213"/>
      <c r="F176" s="214"/>
      <c r="G176" s="214"/>
      <c r="H176" s="214"/>
      <c r="I176" s="211"/>
      <c r="J176" s="211"/>
      <c r="K176" s="211"/>
    </row>
    <row r="177" spans="1:11" x14ac:dyDescent="0.35">
      <c r="A177" s="214"/>
      <c r="B177" s="216">
        <f t="shared" si="10"/>
        <v>18750000</v>
      </c>
      <c r="C177" s="216">
        <f t="shared" si="8"/>
        <v>1.8391237868396799</v>
      </c>
      <c r="D177" s="217">
        <f t="shared" si="9"/>
        <v>4.3667042108482281</v>
      </c>
      <c r="E177" s="213"/>
      <c r="F177" s="214"/>
      <c r="G177" s="214"/>
      <c r="H177" s="214"/>
      <c r="I177" s="211"/>
      <c r="J177" s="211"/>
      <c r="K177" s="211"/>
    </row>
    <row r="178" spans="1:11" x14ac:dyDescent="0.35">
      <c r="A178" s="214"/>
      <c r="B178" s="216">
        <f t="shared" si="10"/>
        <v>19000000</v>
      </c>
      <c r="C178" s="216">
        <f t="shared" si="8"/>
        <v>1.8149247896444207</v>
      </c>
      <c r="D178" s="217">
        <f t="shared" si="9"/>
        <v>4.2525469504884486</v>
      </c>
      <c r="E178" s="213"/>
      <c r="F178" s="214"/>
      <c r="G178" s="214"/>
      <c r="H178" s="214"/>
      <c r="I178" s="211"/>
      <c r="J178" s="211"/>
      <c r="K178" s="211"/>
    </row>
    <row r="179" spans="1:11" x14ac:dyDescent="0.35">
      <c r="A179" s="214"/>
      <c r="B179" s="216">
        <f t="shared" si="10"/>
        <v>19250000</v>
      </c>
      <c r="C179" s="216">
        <f t="shared" si="8"/>
        <v>1.7913543378308565</v>
      </c>
      <c r="D179" s="217">
        <f t="shared" si="9"/>
        <v>4.1428084307676301</v>
      </c>
      <c r="E179" s="213"/>
      <c r="F179" s="214"/>
      <c r="G179" s="214"/>
      <c r="H179" s="214"/>
      <c r="I179" s="211"/>
      <c r="J179" s="211"/>
      <c r="K179" s="211"/>
    </row>
    <row r="180" spans="1:11" x14ac:dyDescent="0.35">
      <c r="A180" s="214"/>
      <c r="B180" s="216">
        <f t="shared" si="10"/>
        <v>19500000</v>
      </c>
      <c r="C180" s="216">
        <f t="shared" si="8"/>
        <v>1.7683882565766149</v>
      </c>
      <c r="D180" s="217">
        <f t="shared" si="9"/>
        <v>4.0372635085505069</v>
      </c>
      <c r="E180" s="213"/>
      <c r="F180" s="214"/>
      <c r="G180" s="214"/>
      <c r="H180" s="214"/>
      <c r="I180" s="211"/>
      <c r="J180" s="211"/>
      <c r="K180" s="211"/>
    </row>
    <row r="181" spans="1:11" x14ac:dyDescent="0.35">
      <c r="A181" s="211"/>
      <c r="B181" s="216">
        <f t="shared" si="10"/>
        <v>19750000</v>
      </c>
      <c r="C181" s="216">
        <f t="shared" si="8"/>
        <v>1.7460035951009616</v>
      </c>
      <c r="D181" s="217">
        <f t="shared" si="9"/>
        <v>3.9357011994906719</v>
      </c>
      <c r="E181" s="213"/>
      <c r="F181" s="211"/>
      <c r="G181" s="211"/>
      <c r="H181" s="211"/>
      <c r="I181" s="211"/>
      <c r="J181" s="211"/>
      <c r="K181" s="211"/>
    </row>
    <row r="182" spans="1:11" x14ac:dyDescent="0.35">
      <c r="A182" s="211"/>
      <c r="B182" s="211"/>
      <c r="C182" s="211"/>
      <c r="D182" s="211"/>
      <c r="E182" s="211"/>
      <c r="F182" s="211"/>
      <c r="G182" s="211"/>
      <c r="H182" s="211"/>
      <c r="I182" s="211"/>
      <c r="J182" s="211"/>
      <c r="K182" s="211"/>
    </row>
    <row r="183" spans="1:11" x14ac:dyDescent="0.35">
      <c r="A183" s="211"/>
      <c r="B183" s="211"/>
      <c r="C183" s="211"/>
      <c r="D183" s="211"/>
      <c r="E183" s="211"/>
      <c r="F183" s="211"/>
      <c r="G183" s="211"/>
      <c r="H183" s="211"/>
      <c r="I183" s="211"/>
      <c r="J183" s="211"/>
      <c r="K183" s="211"/>
    </row>
    <row r="184" spans="1:11" x14ac:dyDescent="0.35">
      <c r="A184" s="211"/>
      <c r="B184" s="211"/>
      <c r="C184" s="211"/>
      <c r="D184" s="211"/>
      <c r="E184" s="211"/>
      <c r="F184" s="211"/>
      <c r="G184" s="211"/>
      <c r="H184" s="211"/>
      <c r="I184" s="211"/>
      <c r="J184" s="211"/>
      <c r="K184" s="211"/>
    </row>
  </sheetData>
  <sheetProtection sheet="1" objects="1" scenarios="1"/>
  <conditionalFormatting sqref="E25">
    <cfRule type="expression" dxfId="26" priority="2">
      <formula>IF(E25="This must be closer than Switch-On Distance",1,0)</formula>
    </cfRule>
  </conditionalFormatting>
  <conditionalFormatting sqref="E13">
    <cfRule type="expression" dxfId="25" priority="1">
      <formula>IF(C13&gt;33,1,0)</formula>
    </cfRule>
  </conditionalFormatting>
  <dataValidations count="9">
    <dataValidation type="list" allowBlank="1" showInputMessage="1" showErrorMessage="1" sqref="D23 D25 D33 D42 D44">
      <formula1>"mm, mil"</formula1>
    </dataValidation>
    <dataValidation type="list" allowBlank="1" showInputMessage="1" showErrorMessage="1" sqref="C7">
      <formula1>"1.8, 3.3"</formula1>
    </dataValidation>
    <dataValidation type="decimal" operator="greaterThan" allowBlank="1" showInputMessage="1" showErrorMessage="1" sqref="C10:C12 C25">
      <formula1>0</formula1>
    </dataValidation>
    <dataValidation type="decimal" errorStyle="warning" operator="greaterThan" allowBlank="1" showInputMessage="1" showErrorMessage="1" errorTitle="Sensor Inductance" error="The inductance of a 4.00mm spiral may be too low for the LDC0851 to support." sqref="C23">
      <formula1>4</formula1>
    </dataValidation>
    <dataValidation type="decimal" errorStyle="warning" allowBlank="1" showInputMessage="1" showErrorMessage="1" error="The width of  cannot be more than 180 degrees._x000a_" sqref="C95">
      <formula1>0.001</formula1>
      <formula2>360</formula2>
    </dataValidation>
    <dataValidation type="decimal" errorStyle="warning" operator="greaterThan" allowBlank="1" showInputMessage="1" showErrorMessage="1" error="Missing counts can occur if the oversample ratio is not &gt;2. A minimum of 3 is recommended." sqref="C97">
      <formula1>2.5</formula1>
    </dataValidation>
    <dataValidation errorStyle="warning" operator="greaterThanOrEqual" allowBlank="1" showInputMessage="1" showErrorMessage="1" error="Most systems have at least 1 event per rotation._x000a_" sqref="C96"/>
    <dataValidation type="decimal" errorStyle="warning" allowBlank="1" showInputMessage="1" showErrorMessage="1" error="The width of one gear tooth cannot be more than 180 degrees._x000a_" sqref="C94">
      <formula1>0.001</formula1>
      <formula2>360</formula2>
    </dataValidation>
    <dataValidation type="decimal" errorStyle="warning" allowBlank="1" showInputMessage="1" showErrorMessage="1" error="This switching distance is either closer than the closest target distance or too far based on the sensor size. " sqref="C33">
      <formula1>C25</formula1>
      <formula2>C23/2</formula2>
    </dataValidation>
  </dataValidations>
  <hyperlinks>
    <hyperlink ref="D2" location="Contents!A1" display="Return to Main Page"/>
  </hyperlinks>
  <pageMargins left="0.7" right="0.7" top="0.75" bottom="0.75" header="0.3" footer="0.3"/>
  <pageSetup orientation="portrait" r:id="rId1"/>
  <ignoredErrors>
    <ignoredError sqref="C43"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B1:N147"/>
  <sheetViews>
    <sheetView showGridLines="0" showRowColHeaders="0" zoomScaleNormal="100" workbookViewId="0">
      <selection activeCell="D17" sqref="D17"/>
    </sheetView>
  </sheetViews>
  <sheetFormatPr defaultRowHeight="14.5" x14ac:dyDescent="0.35"/>
  <cols>
    <col min="1" max="1" width="3.81640625" customWidth="1"/>
    <col min="2" max="2" width="5.36328125" customWidth="1"/>
    <col min="3" max="3" width="26" customWidth="1"/>
    <col min="4" max="4" width="11.1796875" style="514" customWidth="1"/>
    <col min="5" max="5" width="7.1796875" style="514" customWidth="1"/>
    <col min="6" max="6" width="10.54296875" style="514" customWidth="1"/>
    <col min="8" max="8" width="7.453125" customWidth="1"/>
    <col min="9" max="9" width="18.54296875" style="514" customWidth="1"/>
    <col min="10" max="10" width="6.54296875" style="514" customWidth="1"/>
    <col min="11" max="11" width="10.7265625" style="514" customWidth="1"/>
  </cols>
  <sheetData>
    <row r="1" spans="2:14" x14ac:dyDescent="0.35">
      <c r="D1" s="114"/>
      <c r="E1" s="114"/>
      <c r="F1" s="114"/>
      <c r="G1" s="13"/>
      <c r="H1" s="13"/>
      <c r="I1" s="114"/>
      <c r="J1" s="114"/>
      <c r="K1" s="114"/>
      <c r="L1" s="13"/>
    </row>
    <row r="2" spans="2:14" ht="18.5" x14ac:dyDescent="0.45">
      <c r="C2" s="113" t="s">
        <v>800</v>
      </c>
      <c r="D2"/>
      <c r="E2" s="114"/>
      <c r="F2" s="114"/>
      <c r="G2" s="13"/>
      <c r="H2" s="21" t="s">
        <v>211</v>
      </c>
      <c r="I2" s="114"/>
      <c r="J2" s="114"/>
      <c r="K2" s="114"/>
      <c r="L2" s="13"/>
    </row>
    <row r="3" spans="2:14" x14ac:dyDescent="0.35">
      <c r="B3" s="13"/>
      <c r="C3" s="13"/>
      <c r="D3" s="13"/>
      <c r="E3" s="114"/>
      <c r="F3" s="114"/>
      <c r="G3" s="13"/>
      <c r="H3" s="13" t="s">
        <v>801</v>
      </c>
      <c r="I3" s="114"/>
      <c r="J3" s="114"/>
      <c r="K3" s="114"/>
      <c r="L3" s="13"/>
    </row>
    <row r="4" spans="2:14" x14ac:dyDescent="0.35">
      <c r="B4" s="13"/>
      <c r="C4" s="13"/>
      <c r="D4" s="115"/>
      <c r="E4" s="114"/>
      <c r="F4" s="114"/>
      <c r="G4" s="13"/>
      <c r="H4" s="13"/>
      <c r="I4" s="115"/>
      <c r="J4" s="114"/>
      <c r="K4" s="114"/>
      <c r="L4" s="114"/>
    </row>
    <row r="5" spans="2:14" ht="15.5" x14ac:dyDescent="0.35">
      <c r="B5" s="13"/>
      <c r="C5" s="116" t="s">
        <v>321</v>
      </c>
      <c r="D5" s="114"/>
      <c r="E5" s="114"/>
      <c r="F5" s="114"/>
      <c r="G5" s="13"/>
      <c r="H5" s="13"/>
      <c r="I5" s="516" t="s">
        <v>802</v>
      </c>
      <c r="J5" s="114"/>
      <c r="K5" s="114"/>
      <c r="L5" s="13"/>
    </row>
    <row r="6" spans="2:14" x14ac:dyDescent="0.35">
      <c r="B6" s="13"/>
      <c r="C6" s="27" t="s">
        <v>172</v>
      </c>
      <c r="D6" s="517">
        <v>220</v>
      </c>
      <c r="E6" s="127" t="s">
        <v>27</v>
      </c>
      <c r="F6" s="117" t="str">
        <f>IF(D6&lt;C53,"too small",IF(D6&gt;D53,"too large","In Range"))</f>
        <v>In Range</v>
      </c>
      <c r="G6" s="13"/>
      <c r="I6" s="518" t="s">
        <v>803</v>
      </c>
      <c r="J6" s="518" t="s">
        <v>804</v>
      </c>
      <c r="K6" s="518" t="s">
        <v>805</v>
      </c>
      <c r="L6" s="13"/>
    </row>
    <row r="7" spans="2:14" x14ac:dyDescent="0.35">
      <c r="B7" s="13"/>
      <c r="C7" s="27" t="s">
        <v>322</v>
      </c>
      <c r="D7" s="519">
        <v>10.5</v>
      </c>
      <c r="E7" s="127" t="s">
        <v>82</v>
      </c>
      <c r="F7" s="117" t="str">
        <f>IF(D7&lt;C54,"too small",IF(D7&gt;D54,"too large","In Range"))</f>
        <v>In Range</v>
      </c>
      <c r="G7" s="13"/>
      <c r="I7" s="520" t="s">
        <v>806</v>
      </c>
      <c r="J7" s="521" t="s">
        <v>807</v>
      </c>
      <c r="K7" s="139" t="str">
        <f>D22</f>
        <v>0x35</v>
      </c>
      <c r="L7" s="13"/>
      <c r="N7" s="120"/>
    </row>
    <row r="8" spans="2:14" ht="16.5" x14ac:dyDescent="0.45">
      <c r="B8" s="13"/>
      <c r="C8" s="27" t="s">
        <v>851</v>
      </c>
      <c r="D8" s="522">
        <f>micro/(2*PI()*SQRT(pico*D6*D7*micro))</f>
        <v>3.3114190410136963</v>
      </c>
      <c r="E8" s="127" t="s">
        <v>0</v>
      </c>
      <c r="F8" s="117" t="str">
        <f>IF(D8&lt;C55,"too low",IF(D8&gt;D55,"too high","In Range"))</f>
        <v>In Range</v>
      </c>
      <c r="G8" s="13"/>
      <c r="I8" s="520" t="s">
        <v>808</v>
      </c>
      <c r="J8" s="521" t="s">
        <v>809</v>
      </c>
      <c r="K8" s="523" t="str">
        <f>D26</f>
        <v>0xDD</v>
      </c>
      <c r="L8" s="13"/>
    </row>
    <row r="9" spans="2:14" x14ac:dyDescent="0.35">
      <c r="B9" s="13"/>
      <c r="C9" s="27" t="str">
        <f>"Rs_parasitic(@"&amp;LEFT(D8,5)&amp;"MHz)"</f>
        <v>Rs_parasitic(@3.311MHz)</v>
      </c>
      <c r="D9" s="519">
        <v>4.5999999999999996</v>
      </c>
      <c r="E9" s="128" t="s">
        <v>165</v>
      </c>
      <c r="F9" s="118"/>
      <c r="G9" s="13"/>
      <c r="I9" s="520" t="s">
        <v>810</v>
      </c>
      <c r="J9" s="521" t="s">
        <v>811</v>
      </c>
      <c r="K9" s="124" t="str">
        <f>D29</f>
        <v>0xFD</v>
      </c>
      <c r="L9" s="13"/>
    </row>
    <row r="10" spans="2:14" ht="16.5" x14ac:dyDescent="0.45">
      <c r="B10" s="13"/>
      <c r="C10" s="27" t="s">
        <v>533</v>
      </c>
      <c r="D10" s="572">
        <f>C57</f>
        <v>10.375494071146248</v>
      </c>
      <c r="E10" s="129" t="s">
        <v>353</v>
      </c>
      <c r="F10" s="118"/>
      <c r="G10" s="13"/>
      <c r="I10" s="520" t="s">
        <v>812</v>
      </c>
      <c r="J10" s="521" t="s">
        <v>813</v>
      </c>
      <c r="K10" s="124" t="str">
        <f>"0x"&amp;DEC2HEX((D98*16+D97),2)</f>
        <v>0xDE</v>
      </c>
      <c r="L10" s="13"/>
    </row>
    <row r="11" spans="2:14" x14ac:dyDescent="0.35">
      <c r="B11" s="13"/>
      <c r="C11" s="27" t="s">
        <v>466</v>
      </c>
      <c r="D11" s="519">
        <v>10</v>
      </c>
      <c r="E11" s="590" t="s">
        <v>34</v>
      </c>
      <c r="F11" s="118"/>
      <c r="G11" s="13"/>
      <c r="I11" s="520" t="s">
        <v>814</v>
      </c>
      <c r="J11" s="521" t="s">
        <v>815</v>
      </c>
      <c r="K11" s="139" t="str">
        <f>"0x"&amp;DEC2HEX(D109,2)</f>
        <v>0x45</v>
      </c>
      <c r="L11" s="13"/>
    </row>
    <row r="12" spans="2:14" x14ac:dyDescent="0.35">
      <c r="B12" s="13"/>
      <c r="C12" s="27" t="s">
        <v>502</v>
      </c>
      <c r="D12" s="519">
        <v>1</v>
      </c>
      <c r="E12" s="590" t="s">
        <v>34</v>
      </c>
      <c r="F12" s="118"/>
      <c r="G12" s="13"/>
      <c r="I12" s="520" t="s">
        <v>817</v>
      </c>
      <c r="J12" s="521" t="s">
        <v>818</v>
      </c>
      <c r="K12" s="139" t="str">
        <f>"0x"&amp;DEC2HEX(FLOOR(D108/256,1),2)</f>
        <v>0x00</v>
      </c>
      <c r="L12" s="13"/>
    </row>
    <row r="13" spans="2:14" hidden="1" x14ac:dyDescent="0.35">
      <c r="B13" s="13"/>
      <c r="C13" s="27" t="s">
        <v>853</v>
      </c>
      <c r="D13" s="575">
        <f>IF(E11="mm",D11,D11*0.0254)</f>
        <v>10</v>
      </c>
      <c r="E13" s="576"/>
      <c r="F13" s="118"/>
      <c r="G13" s="13"/>
      <c r="L13" s="13"/>
    </row>
    <row r="14" spans="2:14" hidden="1" x14ac:dyDescent="0.35">
      <c r="B14" s="13"/>
      <c r="C14" s="27" t="s">
        <v>854</v>
      </c>
      <c r="D14" s="575">
        <f>IF(E12="mm",D12,D12*0.0254)</f>
        <v>1</v>
      </c>
      <c r="E14" s="129"/>
      <c r="F14" s="118"/>
      <c r="G14" s="13"/>
      <c r="I14" s="573"/>
      <c r="J14" s="118"/>
      <c r="K14" s="574"/>
      <c r="L14" s="13"/>
    </row>
    <row r="15" spans="2:14" hidden="1" x14ac:dyDescent="0.35">
      <c r="B15" s="13"/>
      <c r="C15" s="27" t="s">
        <v>855</v>
      </c>
      <c r="D15" s="575">
        <f>D14/D13</f>
        <v>0.1</v>
      </c>
      <c r="E15" s="129"/>
      <c r="F15" s="118"/>
      <c r="G15" s="13"/>
      <c r="I15" s="573"/>
      <c r="J15" s="118"/>
      <c r="K15" s="574"/>
      <c r="L15" s="13"/>
    </row>
    <row r="16" spans="2:14" hidden="1" x14ac:dyDescent="0.35">
      <c r="B16" s="13"/>
      <c r="C16" s="27" t="s">
        <v>856</v>
      </c>
      <c r="D16" s="575">
        <f>(0.00406832344757895+15.5588911/(1+(D7/0.0358077078721068)^0.865185989584669))+(0.973523646945684-1.1322846019223/(1+(D7/1.1356393338887)^1.06847511981245))*(1-EXP(-(10.3324121181807-56.0213701830392/(1+(D7/0.0139455036722347)^0.572123422421793))*D15))</f>
        <v>0.64132224328073173</v>
      </c>
      <c r="E16" s="129"/>
      <c r="F16" s="118"/>
      <c r="G16" s="13"/>
      <c r="I16" s="573"/>
      <c r="J16" s="118"/>
      <c r="K16" s="574"/>
      <c r="L16" s="13"/>
    </row>
    <row r="17" spans="2:14" ht="16.5" x14ac:dyDescent="0.45">
      <c r="B17" s="13"/>
      <c r="C17" s="27" t="s">
        <v>852</v>
      </c>
      <c r="D17" s="524">
        <f>D8/SQRT(D16)</f>
        <v>4.1350045349280098</v>
      </c>
      <c r="E17" s="127" t="s">
        <v>0</v>
      </c>
      <c r="F17" s="118"/>
      <c r="G17" s="13"/>
      <c r="I17" s="520" t="s">
        <v>819</v>
      </c>
      <c r="J17" s="521" t="s">
        <v>820</v>
      </c>
      <c r="K17" s="139" t="str">
        <f>"0x"&amp;DEC2HEX(LOG(D102,2),2)</f>
        <v>0x01</v>
      </c>
      <c r="L17" s="13"/>
    </row>
    <row r="18" spans="2:14" x14ac:dyDescent="0.35">
      <c r="B18" s="13"/>
      <c r="D18" s="525"/>
      <c r="E18" s="129"/>
      <c r="F18" s="118"/>
      <c r="G18" s="13"/>
      <c r="L18" s="13"/>
      <c r="N18" s="122"/>
    </row>
    <row r="19" spans="2:14" ht="17.5" x14ac:dyDescent="0.45">
      <c r="B19" s="13"/>
      <c r="C19" s="116" t="s">
        <v>816</v>
      </c>
      <c r="D19" s="525"/>
      <c r="E19" s="129"/>
      <c r="F19" s="118"/>
      <c r="G19" s="13"/>
      <c r="L19" s="13"/>
    </row>
    <row r="20" spans="2:14" x14ac:dyDescent="0.35">
      <c r="B20" s="13"/>
      <c r="C20" s="27" t="s">
        <v>354</v>
      </c>
      <c r="D20" s="55">
        <v>3</v>
      </c>
      <c r="E20" s="129" t="s">
        <v>257</v>
      </c>
      <c r="F20" s="117" t="str">
        <f>IF(AND(C63&gt;=C61,C63&lt;=D61),"in Range",IF(C63&lt;C61,"too large",IF(C63&gt;D61,"too small")))</f>
        <v>in Range</v>
      </c>
      <c r="G20" s="577"/>
      <c r="H20" s="405"/>
      <c r="I20" s="578"/>
      <c r="J20" s="578"/>
      <c r="K20" s="578"/>
      <c r="L20" s="577"/>
      <c r="M20" s="405"/>
      <c r="N20" s="405"/>
    </row>
    <row r="21" spans="2:14" x14ac:dyDescent="0.35">
      <c r="B21" s="13"/>
      <c r="C21" s="27" t="str">
        <f>IF(D21&gt;D20,"RpMAX Setting","RPMAX must be &gt;RpMIN")</f>
        <v>RpMAX Setting</v>
      </c>
      <c r="D21" s="526">
        <v>12</v>
      </c>
      <c r="E21" s="129" t="s">
        <v>257</v>
      </c>
      <c r="F21" s="117" t="str">
        <f>IF(AND(D21&gt;=D10,D21&lt;=2.05*D10),"in Range",IF(D21&gt;2.05*D10,"too large",IF(D21&lt;D10,"too small")))</f>
        <v>in Range</v>
      </c>
      <c r="G21" s="577"/>
      <c r="H21" s="405"/>
      <c r="I21" s="578"/>
      <c r="J21" s="578"/>
      <c r="K21" s="578"/>
      <c r="L21" s="577"/>
      <c r="M21" s="405"/>
      <c r="N21" s="405"/>
    </row>
    <row r="22" spans="2:14" hidden="1" x14ac:dyDescent="0.35">
      <c r="B22" s="13"/>
      <c r="C22" s="61" t="s">
        <v>393</v>
      </c>
      <c r="D22" s="527" t="str">
        <f>"0x"&amp;DEC2HEX(TEXT((((7-LOG(D21/0.75,2))*16)+(7-LOG(D20/0.75,2))),"0"),2)</f>
        <v>0x35</v>
      </c>
      <c r="E22" s="129"/>
      <c r="F22" s="142" t="s">
        <v>394</v>
      </c>
      <c r="G22" s="577"/>
      <c r="H22" s="405"/>
      <c r="I22" s="578"/>
      <c r="J22" s="578"/>
      <c r="K22" s="578"/>
      <c r="L22" s="577"/>
      <c r="M22" s="405"/>
      <c r="N22" s="405"/>
    </row>
    <row r="23" spans="2:14" x14ac:dyDescent="0.35">
      <c r="B23" s="13"/>
      <c r="C23" s="27" t="s">
        <v>325</v>
      </c>
      <c r="D23" s="528">
        <f>1000*D10*SQRT(pico*D6/(micro*D7))</f>
        <v>47.492548777462126</v>
      </c>
      <c r="E23" s="129"/>
      <c r="F23" s="117" t="str">
        <f>IF(D23&gt;=C56,"in Range","too small")</f>
        <v>in Range</v>
      </c>
      <c r="G23" s="577"/>
      <c r="H23" s="405"/>
      <c r="I23" s="578"/>
      <c r="J23" s="578"/>
      <c r="K23" s="578"/>
      <c r="L23" s="577"/>
      <c r="M23" s="405"/>
      <c r="N23" s="405"/>
    </row>
    <row r="24" spans="2:14" x14ac:dyDescent="0.35">
      <c r="B24" s="13"/>
      <c r="C24" s="27" t="s">
        <v>326</v>
      </c>
      <c r="D24" s="529">
        <f>IF(1000*SQRT(2)/(PI()*0.6*D34*(6))&gt;C82,6,IF(1000*SQRT(2)/(PI()*0.6*D34*(3))&gt;C82,3,IF(1000*SQRT(2)/(PI()*0.6*D34*(1.5))&gt;C82,1.5,IF(1000*SQRT(2)/(PI()*0.6*D34*(0.75))&gt;C82,0.75,"Too Low"))))</f>
        <v>6</v>
      </c>
      <c r="E24" s="127" t="s">
        <v>27</v>
      </c>
      <c r="F24" s="117" t="str">
        <f>IF(AND(D24&gt;=C76,D24&lt;=C79),"in Range", "error")</f>
        <v>in Range</v>
      </c>
      <c r="G24" s="577"/>
      <c r="H24" s="405"/>
      <c r="I24" s="578"/>
      <c r="J24" s="578"/>
      <c r="K24" s="578"/>
      <c r="L24" s="577"/>
      <c r="M24" s="405"/>
      <c r="N24" s="405"/>
    </row>
    <row r="25" spans="2:14" x14ac:dyDescent="0.35">
      <c r="B25" s="13"/>
      <c r="C25" s="27" t="s">
        <v>328</v>
      </c>
      <c r="D25" s="530">
        <f>(1000*SQRT(2)/(PI()*0.6*D8*(D24)))</f>
        <v>37.761434373258737</v>
      </c>
      <c r="E25" s="129" t="s">
        <v>257</v>
      </c>
      <c r="F25" s="117" t="str">
        <f>IF(D25&lt;C82,"too small",IF(D25&gt;C83,"too large","In Range"))</f>
        <v>In Range</v>
      </c>
      <c r="G25" s="577"/>
      <c r="H25" s="405"/>
      <c r="I25" s="578"/>
      <c r="J25" s="578"/>
      <c r="K25" s="578"/>
      <c r="L25" s="577"/>
      <c r="M25" s="405"/>
      <c r="N25" s="405"/>
    </row>
    <row r="26" spans="2:14" hidden="1" x14ac:dyDescent="0.35">
      <c r="B26" s="13"/>
      <c r="C26" s="61" t="s">
        <v>389</v>
      </c>
      <c r="D26" s="531" t="str">
        <f>"0x"&amp;DEC2HEX(TEXT((((LOG(D24/0.75,2))*64)+FLOOR(-(D25-417)/12.77,1)),"0"),2)</f>
        <v>0xDD</v>
      </c>
      <c r="E26" s="129"/>
      <c r="F26" s="142" t="s">
        <v>390</v>
      </c>
      <c r="G26" s="577"/>
      <c r="H26" s="405"/>
      <c r="I26" s="578"/>
      <c r="J26" s="578"/>
      <c r="K26" s="578"/>
      <c r="L26" s="577"/>
      <c r="M26" s="405"/>
      <c r="N26" s="405"/>
    </row>
    <row r="27" spans="2:14" x14ac:dyDescent="0.35">
      <c r="B27" s="13"/>
      <c r="C27" s="27" t="s">
        <v>330</v>
      </c>
      <c r="D27" s="529">
        <f>IF(((2*D20*D6/24)&gt;C92),24,IF(((2*D20*D6/12)&gt;C92),12,IF(((2*D20*D6/6)&gt;C92),6,IF(((2*D20*D6/3)&gt;C92),3,"Too Low"))))</f>
        <v>24</v>
      </c>
      <c r="E27" s="127" t="s">
        <v>27</v>
      </c>
      <c r="F27" s="117" t="str">
        <f>IF(AND(D27&gt;=C86,D27&lt;=C89),"In Range", "error")</f>
        <v>In Range</v>
      </c>
      <c r="G27" s="577"/>
      <c r="H27" s="405"/>
      <c r="I27" s="578"/>
      <c r="J27" s="578"/>
      <c r="K27" s="578"/>
      <c r="L27" s="577"/>
      <c r="M27" s="405"/>
      <c r="N27" s="405"/>
    </row>
    <row r="28" spans="2:14" x14ac:dyDescent="0.35">
      <c r="B28" s="13"/>
      <c r="C28" s="27" t="s">
        <v>332</v>
      </c>
      <c r="D28" s="530">
        <f>2*D20*D6/(D27)</f>
        <v>55</v>
      </c>
      <c r="E28" s="129" t="s">
        <v>257</v>
      </c>
      <c r="F28" s="117" t="str">
        <f>IF(D28&lt;C92,"too small",IF(D28&gt;C93,"too large","In Range"))</f>
        <v>In Range</v>
      </c>
      <c r="G28" s="577"/>
      <c r="H28" s="405"/>
      <c r="I28" s="578"/>
      <c r="J28" s="578"/>
      <c r="K28" s="578"/>
      <c r="L28" s="577"/>
      <c r="M28" s="405"/>
      <c r="N28" s="405"/>
    </row>
    <row r="29" spans="2:14" hidden="1" x14ac:dyDescent="0.35">
      <c r="B29" s="13"/>
      <c r="C29" s="61" t="s">
        <v>392</v>
      </c>
      <c r="D29" s="532" t="str">
        <f>"0x"&amp;DEC2HEX(TEXT((((LOG(D27/3,2))*64)+FLOOR(-(D28-835)/12.77,1)),"0"),2)</f>
        <v>0xFD</v>
      </c>
      <c r="E29" s="129"/>
      <c r="F29" s="142" t="s">
        <v>391</v>
      </c>
      <c r="G29" s="577"/>
      <c r="H29" s="405"/>
      <c r="I29" s="578"/>
      <c r="J29" s="578"/>
      <c r="K29" s="578"/>
      <c r="L29" s="577"/>
      <c r="M29" s="405"/>
      <c r="N29" s="405"/>
    </row>
    <row r="30" spans="2:14" hidden="1" x14ac:dyDescent="0.35">
      <c r="B30" s="13"/>
      <c r="C30" s="13"/>
      <c r="D30" s="114"/>
      <c r="E30" s="114"/>
      <c r="F30" s="114"/>
      <c r="G30" s="577"/>
      <c r="H30" s="415"/>
      <c r="I30" s="579"/>
      <c r="J30" s="579"/>
      <c r="K30" s="579"/>
      <c r="L30" s="577"/>
      <c r="M30" s="405"/>
      <c r="N30" s="405"/>
    </row>
    <row r="31" spans="2:14" hidden="1" x14ac:dyDescent="0.35">
      <c r="B31" s="13"/>
      <c r="C31" s="533" t="s">
        <v>359</v>
      </c>
      <c r="D31" s="534"/>
      <c r="E31" s="534"/>
      <c r="F31" s="534"/>
      <c r="G31" s="577"/>
      <c r="H31" s="415"/>
      <c r="I31" s="579"/>
      <c r="J31" s="579"/>
      <c r="K31" s="579"/>
      <c r="L31" s="577"/>
      <c r="M31" s="405"/>
      <c r="N31" s="405"/>
    </row>
    <row r="32" spans="2:14" hidden="1" x14ac:dyDescent="0.35">
      <c r="B32" s="13"/>
      <c r="C32" s="535" t="s">
        <v>395</v>
      </c>
      <c r="D32" s="536">
        <v>0.94216</v>
      </c>
      <c r="E32" s="537"/>
      <c r="F32" s="538" t="s">
        <v>396</v>
      </c>
      <c r="G32" s="577"/>
      <c r="H32" s="415"/>
      <c r="I32" s="579"/>
      <c r="J32" s="579"/>
      <c r="K32" s="579"/>
      <c r="L32" s="577"/>
      <c r="M32" s="405"/>
      <c r="N32" s="405"/>
    </row>
    <row r="33" spans="2:14" hidden="1" x14ac:dyDescent="0.35">
      <c r="B33" s="13"/>
      <c r="C33" s="535" t="s">
        <v>323</v>
      </c>
      <c r="D33" s="119">
        <f>D7*D32</f>
        <v>9.8926800000000004</v>
      </c>
      <c r="E33" s="539" t="s">
        <v>82</v>
      </c>
      <c r="F33" s="117" t="str">
        <f>IF(D33&lt;C54,"too small",IF(D33&gt;D54,"too large","In Range"))</f>
        <v>In Range</v>
      </c>
      <c r="G33" s="577"/>
      <c r="H33" s="415"/>
      <c r="I33" s="579"/>
      <c r="J33" s="579"/>
      <c r="K33" s="579"/>
      <c r="L33" s="577"/>
      <c r="M33" s="405"/>
      <c r="N33" s="405"/>
    </row>
    <row r="34" spans="2:14" hidden="1" x14ac:dyDescent="0.35">
      <c r="B34" s="13"/>
      <c r="C34" s="535" t="s">
        <v>324</v>
      </c>
      <c r="D34" s="121">
        <f>0.001/(2*PI()*SQRT(pico*D6*D33))</f>
        <v>3.4115505494772993</v>
      </c>
      <c r="E34" s="539" t="s">
        <v>0</v>
      </c>
      <c r="F34" s="117" t="str">
        <f>IF(D34&lt;C55,"too low",IF(D34&gt;D55,"too high","In Range"))</f>
        <v>In Range</v>
      </c>
      <c r="G34" s="577"/>
      <c r="H34" s="415"/>
      <c r="I34" s="579"/>
      <c r="J34" s="579"/>
      <c r="K34" s="579"/>
      <c r="L34" s="577"/>
      <c r="M34" s="405"/>
      <c r="N34" s="405"/>
    </row>
    <row r="35" spans="2:14" ht="16.5" hidden="1" x14ac:dyDescent="0.45">
      <c r="B35" s="13"/>
      <c r="C35" s="535" t="s">
        <v>532</v>
      </c>
      <c r="D35" s="540">
        <v>0.99399999999999999</v>
      </c>
      <c r="E35" s="538"/>
      <c r="F35" s="538" t="s">
        <v>402</v>
      </c>
      <c r="G35" s="577"/>
      <c r="H35" s="415"/>
      <c r="I35" s="579"/>
      <c r="J35" s="579"/>
      <c r="K35" s="579"/>
      <c r="L35" s="577"/>
      <c r="M35" s="405"/>
      <c r="N35" s="405"/>
    </row>
    <row r="36" spans="2:14" ht="16.5" hidden="1" x14ac:dyDescent="0.45">
      <c r="B36" s="13"/>
      <c r="C36" s="535" t="s">
        <v>533</v>
      </c>
      <c r="D36" s="119">
        <f>D57</f>
        <v>9.7167232411067221</v>
      </c>
      <c r="E36" s="538" t="s">
        <v>353</v>
      </c>
      <c r="F36" s="537"/>
      <c r="G36" s="577"/>
      <c r="H36" s="415"/>
      <c r="I36" s="579"/>
      <c r="J36" s="579"/>
      <c r="K36" s="579"/>
      <c r="L36" s="577"/>
      <c r="M36" s="405"/>
      <c r="N36" s="405"/>
    </row>
    <row r="37" spans="2:14" hidden="1" x14ac:dyDescent="0.35">
      <c r="B37" s="13"/>
      <c r="C37" s="535"/>
      <c r="D37" s="534"/>
      <c r="E37" s="538"/>
      <c r="F37" s="537"/>
      <c r="G37" s="577"/>
      <c r="H37" s="415"/>
      <c r="I37" s="579"/>
      <c r="J37" s="579"/>
      <c r="K37" s="579"/>
      <c r="L37" s="577"/>
      <c r="M37" s="405"/>
      <c r="N37" s="405"/>
    </row>
    <row r="38" spans="2:14" hidden="1" x14ac:dyDescent="0.35">
      <c r="B38" s="13"/>
      <c r="C38" s="535" t="s">
        <v>354</v>
      </c>
      <c r="D38" s="117">
        <f>D20</f>
        <v>3</v>
      </c>
      <c r="E38" s="538" t="s">
        <v>257</v>
      </c>
      <c r="F38" s="117" t="str">
        <f>IF(D63&lt;C61,"too large",IF(D63&gt;D61,"too small","In Range"))</f>
        <v>In Range</v>
      </c>
      <c r="G38" s="577"/>
      <c r="H38" s="415"/>
      <c r="I38" s="579"/>
      <c r="J38" s="579"/>
      <c r="K38" s="579"/>
      <c r="L38" s="577"/>
      <c r="M38" s="405"/>
      <c r="N38" s="405"/>
    </row>
    <row r="39" spans="2:14" hidden="1" x14ac:dyDescent="0.35">
      <c r="B39" s="13"/>
      <c r="C39" s="535" t="s">
        <v>355</v>
      </c>
      <c r="D39" s="123">
        <f>D21</f>
        <v>12</v>
      </c>
      <c r="E39" s="538" t="s">
        <v>257</v>
      </c>
      <c r="F39" s="117" t="str">
        <f>IF(D21&gt;2.05*D36/D32,"too large",IF(D21&lt;D36,"too small","In Range"))</f>
        <v>In Range</v>
      </c>
      <c r="G39" s="577"/>
      <c r="H39" s="415"/>
      <c r="I39" s="579"/>
      <c r="J39" s="579"/>
      <c r="K39" s="579"/>
      <c r="L39" s="577"/>
      <c r="M39" s="405"/>
      <c r="N39" s="405"/>
    </row>
    <row r="40" spans="2:14" ht="16.5" hidden="1" x14ac:dyDescent="0.45">
      <c r="B40" s="13"/>
      <c r="C40" s="535" t="s">
        <v>534</v>
      </c>
      <c r="D40" s="123">
        <f>1000*D20*SQRT(pico*D6/(micro*D33))</f>
        <v>14.147366829536299</v>
      </c>
      <c r="E40" s="539"/>
      <c r="F40" s="117" t="str">
        <f>IF(D40&lt;E56,"too small",IF(D40&gt;D56,"too large","In Range"))</f>
        <v>In Range</v>
      </c>
      <c r="G40" s="577"/>
      <c r="H40" s="415"/>
      <c r="I40" s="579"/>
      <c r="J40" s="579"/>
      <c r="K40" s="579"/>
      <c r="L40" s="577"/>
      <c r="M40" s="405"/>
      <c r="N40" s="405"/>
    </row>
    <row r="41" spans="2:14" hidden="1" x14ac:dyDescent="0.35">
      <c r="B41" s="13"/>
      <c r="C41" s="535" t="s">
        <v>327</v>
      </c>
      <c r="D41" s="123">
        <f>D24</f>
        <v>6</v>
      </c>
      <c r="E41" s="541" t="s">
        <v>27</v>
      </c>
      <c r="F41" s="117" t="str">
        <f>IF(AND(D41&gt;=C76,D41&lt;=C79),"In Range", "error")</f>
        <v>In Range</v>
      </c>
      <c r="G41" s="577"/>
      <c r="H41" s="415"/>
      <c r="I41" s="579"/>
      <c r="J41" s="579"/>
      <c r="K41" s="579"/>
      <c r="L41" s="577"/>
      <c r="M41" s="405"/>
      <c r="N41" s="405"/>
    </row>
    <row r="42" spans="2:14" hidden="1" x14ac:dyDescent="0.35">
      <c r="B42" s="13"/>
      <c r="C42" s="535" t="s">
        <v>329</v>
      </c>
      <c r="D42" s="119">
        <f>D25</f>
        <v>37.761434373258737</v>
      </c>
      <c r="E42" s="538" t="s">
        <v>257</v>
      </c>
      <c r="F42" s="117" t="str">
        <f>IF(D42&lt;C82,"too small",IF(D42&gt;C83,"too large","In Range"))</f>
        <v>In Range</v>
      </c>
      <c r="G42" s="577"/>
      <c r="H42" s="415"/>
      <c r="I42" s="579"/>
      <c r="J42" s="579"/>
      <c r="K42" s="579"/>
      <c r="L42" s="577"/>
      <c r="M42" s="405"/>
      <c r="N42" s="405"/>
    </row>
    <row r="43" spans="2:14" hidden="1" x14ac:dyDescent="0.35">
      <c r="B43" s="13"/>
      <c r="C43" s="535" t="s">
        <v>331</v>
      </c>
      <c r="D43" s="119">
        <f>D27</f>
        <v>24</v>
      </c>
      <c r="E43" s="541" t="s">
        <v>27</v>
      </c>
      <c r="F43" s="117" t="str">
        <f>IF(AND(D43&gt;=C86,D43&lt;=C89),"In Range", "error")</f>
        <v>In Range</v>
      </c>
      <c r="G43" s="577"/>
      <c r="H43" s="415"/>
      <c r="I43" s="579"/>
      <c r="J43" s="579"/>
      <c r="K43" s="579"/>
      <c r="L43" s="577"/>
      <c r="M43" s="405"/>
      <c r="N43" s="405"/>
    </row>
    <row r="44" spans="2:14" hidden="1" x14ac:dyDescent="0.35">
      <c r="B44" s="13"/>
      <c r="C44" s="535" t="s">
        <v>333</v>
      </c>
      <c r="D44" s="119">
        <f>0.001*1.4142/(Mega*D34*PI()*pico*D27*0.6)</f>
        <v>9.1631892748658572</v>
      </c>
      <c r="E44" s="538" t="s">
        <v>257</v>
      </c>
      <c r="F44" s="117" t="str">
        <f>IF(D44&lt;C92,"too small",IF(D44&gt;C93,"too large","In Range"))</f>
        <v>too small</v>
      </c>
      <c r="G44" s="577"/>
      <c r="H44" s="415"/>
      <c r="I44" s="579"/>
      <c r="J44" s="579"/>
      <c r="K44" s="579"/>
      <c r="L44" s="577"/>
      <c r="M44" s="405"/>
      <c r="N44" s="405"/>
    </row>
    <row r="45" spans="2:14" hidden="1" x14ac:dyDescent="0.35">
      <c r="B45" s="13"/>
      <c r="C45" s="13"/>
      <c r="D45" s="114"/>
      <c r="E45" s="114"/>
      <c r="F45" s="114"/>
      <c r="G45" s="577"/>
      <c r="H45" s="415"/>
      <c r="I45" s="579"/>
      <c r="J45" s="579"/>
      <c r="K45" s="579"/>
      <c r="L45" s="577"/>
      <c r="M45" s="405"/>
      <c r="N45" s="405"/>
    </row>
    <row r="46" spans="2:14" ht="15.5" hidden="1" x14ac:dyDescent="0.35">
      <c r="C46" s="542" t="s">
        <v>821</v>
      </c>
      <c r="G46" s="405"/>
      <c r="H46" s="405"/>
      <c r="I46" s="578"/>
      <c r="J46" s="578"/>
      <c r="K46" s="578"/>
      <c r="L46" s="405"/>
      <c r="M46" s="405"/>
      <c r="N46" s="405"/>
    </row>
    <row r="47" spans="2:14" hidden="1" x14ac:dyDescent="0.35">
      <c r="C47" s="143" t="s">
        <v>334</v>
      </c>
      <c r="D47" s="144"/>
      <c r="E47" s="144"/>
      <c r="G47" s="405"/>
      <c r="H47" s="405"/>
      <c r="I47" s="578"/>
      <c r="J47" s="578"/>
      <c r="K47" s="578"/>
      <c r="L47" s="405"/>
      <c r="M47" s="405"/>
      <c r="N47" s="405"/>
    </row>
    <row r="48" spans="2:14" hidden="1" x14ac:dyDescent="0.35">
      <c r="C48" s="145">
        <v>9.9999999999999998E-13</v>
      </c>
      <c r="D48" s="9" t="s">
        <v>335</v>
      </c>
      <c r="E48" s="144"/>
      <c r="G48" s="405"/>
      <c r="H48" s="405"/>
      <c r="I48" s="578"/>
      <c r="J48" s="578"/>
      <c r="K48" s="578"/>
      <c r="L48" s="405"/>
      <c r="M48" s="405"/>
      <c r="N48" s="405"/>
    </row>
    <row r="49" spans="2:14" hidden="1" x14ac:dyDescent="0.35">
      <c r="C49" s="145">
        <v>9.9999999999999995E-7</v>
      </c>
      <c r="D49" s="9" t="s">
        <v>336</v>
      </c>
      <c r="E49" s="144"/>
      <c r="G49" s="405"/>
      <c r="H49" s="405"/>
      <c r="I49" s="578"/>
      <c r="J49" s="578"/>
      <c r="K49" s="578"/>
      <c r="L49" s="405"/>
      <c r="M49" s="405"/>
      <c r="N49" s="405"/>
    </row>
    <row r="50" spans="2:14" hidden="1" x14ac:dyDescent="0.35">
      <c r="C50" s="145">
        <v>1000000</v>
      </c>
      <c r="D50" s="9" t="s">
        <v>337</v>
      </c>
      <c r="E50" s="144"/>
      <c r="G50" s="405"/>
      <c r="H50" s="405"/>
      <c r="I50" s="578"/>
      <c r="J50" s="578"/>
      <c r="K50" s="578"/>
      <c r="L50" s="405"/>
      <c r="M50" s="405"/>
      <c r="N50" s="405"/>
    </row>
    <row r="51" spans="2:14" hidden="1" x14ac:dyDescent="0.35">
      <c r="C51" s="146"/>
      <c r="D51" s="144"/>
      <c r="E51" s="144"/>
      <c r="G51" s="405"/>
      <c r="H51" s="405"/>
      <c r="I51" s="578"/>
      <c r="J51" s="578"/>
      <c r="K51" s="578"/>
      <c r="L51" s="405"/>
      <c r="M51" s="405"/>
      <c r="N51" s="405"/>
    </row>
    <row r="52" spans="2:14" hidden="1" x14ac:dyDescent="0.35">
      <c r="B52" s="10" t="s">
        <v>338</v>
      </c>
      <c r="C52" s="147" t="s">
        <v>339</v>
      </c>
      <c r="D52" s="148" t="s">
        <v>340</v>
      </c>
      <c r="E52" s="9"/>
      <c r="G52" s="405"/>
      <c r="H52" s="405"/>
      <c r="I52" s="578"/>
      <c r="J52" s="578"/>
      <c r="K52" s="578"/>
      <c r="L52" s="405"/>
      <c r="M52" s="405"/>
      <c r="N52" s="405"/>
    </row>
    <row r="53" spans="2:14" hidden="1" x14ac:dyDescent="0.35">
      <c r="B53" s="9" t="s">
        <v>172</v>
      </c>
      <c r="C53" s="149">
        <v>100</v>
      </c>
      <c r="D53" s="149">
        <v>56000</v>
      </c>
      <c r="E53" s="9" t="s">
        <v>27</v>
      </c>
      <c r="G53" s="405"/>
      <c r="H53" s="405"/>
      <c r="I53" s="578"/>
      <c r="J53" s="578"/>
      <c r="K53" s="578"/>
      <c r="L53" s="405"/>
      <c r="M53" s="405"/>
      <c r="N53" s="405"/>
    </row>
    <row r="54" spans="2:14" hidden="1" x14ac:dyDescent="0.35">
      <c r="B54" s="9" t="s">
        <v>341</v>
      </c>
      <c r="C54" s="149">
        <v>1</v>
      </c>
      <c r="D54" s="149">
        <v>500</v>
      </c>
      <c r="E54" s="25" t="s">
        <v>109</v>
      </c>
      <c r="G54" s="405"/>
      <c r="H54" s="405"/>
      <c r="I54" s="578"/>
      <c r="J54" s="578"/>
      <c r="K54" s="578"/>
      <c r="L54" s="405"/>
      <c r="M54" s="405"/>
      <c r="N54" s="405"/>
    </row>
    <row r="55" spans="2:14" hidden="1" x14ac:dyDescent="0.35">
      <c r="B55" s="9" t="s">
        <v>342</v>
      </c>
      <c r="C55" s="150">
        <v>0.5</v>
      </c>
      <c r="D55" s="150">
        <v>10</v>
      </c>
      <c r="E55" s="9"/>
      <c r="G55" s="405"/>
      <c r="H55" s="405"/>
      <c r="I55" s="578"/>
      <c r="J55" s="578"/>
      <c r="K55" s="578"/>
      <c r="L55" s="405"/>
      <c r="M55" s="405"/>
      <c r="N55" s="405"/>
    </row>
    <row r="56" spans="2:14" hidden="1" x14ac:dyDescent="0.35">
      <c r="B56" s="9" t="s">
        <v>343</v>
      </c>
      <c r="C56" s="149">
        <f>1/D61</f>
        <v>9.9906656960671203</v>
      </c>
      <c r="D56" s="149">
        <f>1/C61</f>
        <v>399.6266278426848</v>
      </c>
      <c r="E56" s="9"/>
      <c r="G56" s="405"/>
      <c r="H56" s="405"/>
      <c r="I56" s="578"/>
      <c r="J56" s="578"/>
      <c r="K56" s="578"/>
      <c r="L56" s="405"/>
      <c r="M56" s="405"/>
      <c r="N56" s="405"/>
    </row>
    <row r="57" spans="2:14" hidden="1" x14ac:dyDescent="0.35">
      <c r="B57" s="9" t="s">
        <v>344</v>
      </c>
      <c r="C57" s="151">
        <f>0.001*micro*D7/(pico*D6*D9)</f>
        <v>10.375494071146248</v>
      </c>
      <c r="D57" s="151">
        <f>0.001*D33*micro/(D6*pico*D9)*D35</f>
        <v>9.7167232411067221</v>
      </c>
      <c r="E57" s="9" t="s">
        <v>397</v>
      </c>
      <c r="G57" s="405"/>
      <c r="H57" s="405"/>
      <c r="I57" s="578"/>
      <c r="J57" s="578"/>
      <c r="K57" s="578"/>
      <c r="L57" s="405"/>
      <c r="M57" s="405"/>
      <c r="N57" s="405"/>
    </row>
    <row r="58" spans="2:14" hidden="1" x14ac:dyDescent="0.35">
      <c r="B58" s="9"/>
      <c r="C58" s="152"/>
      <c r="D58" s="153"/>
      <c r="E58" s="9"/>
      <c r="G58" s="405"/>
      <c r="H58" s="405"/>
      <c r="I58" s="578"/>
      <c r="J58" s="578"/>
      <c r="K58" s="578"/>
      <c r="L58" s="405"/>
      <c r="M58" s="405"/>
      <c r="N58" s="405"/>
    </row>
    <row r="59" spans="2:14" hidden="1" x14ac:dyDescent="0.35">
      <c r="B59" s="9" t="s">
        <v>345</v>
      </c>
      <c r="C59" s="151">
        <v>1.131</v>
      </c>
      <c r="D59" s="153"/>
      <c r="E59" s="9"/>
      <c r="G59" s="405"/>
      <c r="H59" s="405"/>
      <c r="I59" s="578"/>
      <c r="J59" s="578"/>
      <c r="K59" s="578"/>
      <c r="L59" s="405"/>
      <c r="M59" s="405"/>
      <c r="N59" s="405"/>
    </row>
    <row r="60" spans="2:14" hidden="1" x14ac:dyDescent="0.35">
      <c r="B60" s="9" t="s">
        <v>346</v>
      </c>
      <c r="C60" s="154">
        <v>0.28299999999999997</v>
      </c>
      <c r="D60" s="153"/>
      <c r="E60" s="9"/>
      <c r="G60" s="405"/>
      <c r="H60" s="405"/>
      <c r="I60" s="578"/>
      <c r="J60" s="578"/>
      <c r="K60" s="578"/>
      <c r="L60" s="405"/>
      <c r="M60" s="405"/>
      <c r="N60" s="405"/>
    </row>
    <row r="61" spans="2:14" hidden="1" x14ac:dyDescent="0.35">
      <c r="B61" s="9" t="s">
        <v>347</v>
      </c>
      <c r="C61" s="154">
        <f>D61/40</f>
        <v>2.5023357562490942E-3</v>
      </c>
      <c r="D61" s="154">
        <f>1.2567*C60/(PI()*C59)</f>
        <v>0.10009343024996377</v>
      </c>
      <c r="E61" s="9"/>
      <c r="G61" s="405"/>
      <c r="H61" s="405"/>
      <c r="I61" s="578"/>
      <c r="J61" s="578"/>
      <c r="K61" s="578"/>
      <c r="L61" s="405"/>
      <c r="M61" s="405"/>
      <c r="N61" s="405"/>
    </row>
    <row r="62" spans="2:14" hidden="1" x14ac:dyDescent="0.35">
      <c r="B62" s="9" t="s">
        <v>348</v>
      </c>
      <c r="C62" s="154">
        <f>1/(2*PI()*D6*pico*D20*1000)</f>
        <v>241143.85316953837</v>
      </c>
      <c r="D62" s="153"/>
      <c r="E62" s="9"/>
      <c r="G62" s="405"/>
      <c r="H62" s="405"/>
      <c r="I62" s="578"/>
      <c r="J62" s="578"/>
      <c r="K62" s="578"/>
      <c r="L62" s="405"/>
      <c r="M62" s="405"/>
      <c r="N62" s="405"/>
    </row>
    <row r="63" spans="2:14" hidden="1" x14ac:dyDescent="0.35">
      <c r="B63" s="9" t="s">
        <v>349</v>
      </c>
      <c r="C63" s="154">
        <f>C62/(Mega*D8)</f>
        <v>7.2821908125441925E-2</v>
      </c>
      <c r="D63" s="154">
        <f>C62/(Mega*D34)</f>
        <v>7.068453176122079E-2</v>
      </c>
      <c r="E63" s="9"/>
      <c r="F63"/>
      <c r="G63" s="580"/>
      <c r="H63" s="405"/>
      <c r="I63" s="578"/>
      <c r="J63" s="578"/>
      <c r="K63" s="578"/>
      <c r="L63" s="405"/>
      <c r="M63" s="405"/>
      <c r="N63" s="405"/>
    </row>
    <row r="64" spans="2:14" hidden="1" x14ac:dyDescent="0.35">
      <c r="C64" s="155"/>
      <c r="D64" s="144"/>
      <c r="E64" s="144"/>
      <c r="G64" s="405"/>
      <c r="H64" s="405"/>
      <c r="I64" s="578"/>
      <c r="J64" s="578"/>
      <c r="K64" s="578"/>
      <c r="L64" s="405"/>
      <c r="M64" s="405"/>
      <c r="N64" s="405"/>
    </row>
    <row r="65" spans="2:14" hidden="1" x14ac:dyDescent="0.35">
      <c r="C65" s="147" t="s">
        <v>350</v>
      </c>
      <c r="D65" s="144"/>
      <c r="E65" s="144"/>
      <c r="G65" s="405"/>
      <c r="H65" s="405"/>
      <c r="I65" s="578"/>
      <c r="J65" s="578"/>
      <c r="K65" s="578"/>
      <c r="L65" s="405"/>
      <c r="M65" s="405"/>
      <c r="N65" s="405"/>
    </row>
    <row r="66" spans="2:14" hidden="1" x14ac:dyDescent="0.35">
      <c r="B66">
        <v>0</v>
      </c>
      <c r="C66" s="151">
        <v>0.75</v>
      </c>
      <c r="D66" s="9" t="s">
        <v>397</v>
      </c>
      <c r="E66" s="144"/>
      <c r="G66" s="405"/>
      <c r="H66" s="405"/>
      <c r="I66" s="578"/>
      <c r="J66" s="578"/>
      <c r="K66" s="578"/>
      <c r="L66" s="405"/>
      <c r="M66" s="405"/>
      <c r="N66" s="405"/>
    </row>
    <row r="67" spans="2:14" hidden="1" x14ac:dyDescent="0.35">
      <c r="B67">
        <v>1</v>
      </c>
      <c r="C67" s="151">
        <v>1.5</v>
      </c>
      <c r="D67" s="9" t="s">
        <v>397</v>
      </c>
      <c r="E67" s="144"/>
      <c r="G67" s="405"/>
      <c r="H67" s="405"/>
      <c r="I67" s="578"/>
      <c r="J67" s="578"/>
      <c r="K67" s="578"/>
      <c r="L67" s="405"/>
      <c r="M67" s="405"/>
      <c r="N67" s="405"/>
    </row>
    <row r="68" spans="2:14" hidden="1" x14ac:dyDescent="0.35">
      <c r="B68">
        <v>2</v>
      </c>
      <c r="C68" s="151">
        <v>3</v>
      </c>
      <c r="D68" s="9" t="s">
        <v>397</v>
      </c>
      <c r="E68" s="144"/>
      <c r="G68" s="405"/>
      <c r="H68" s="405"/>
      <c r="I68" s="578"/>
      <c r="J68" s="578"/>
      <c r="K68" s="578"/>
      <c r="L68" s="405"/>
      <c r="M68" s="405"/>
      <c r="N68" s="405"/>
    </row>
    <row r="69" spans="2:14" hidden="1" x14ac:dyDescent="0.35">
      <c r="B69">
        <v>3</v>
      </c>
      <c r="C69" s="151">
        <v>6</v>
      </c>
      <c r="D69" s="9" t="s">
        <v>397</v>
      </c>
      <c r="E69" s="144"/>
      <c r="G69" s="405"/>
      <c r="H69" s="405"/>
      <c r="I69" s="578"/>
      <c r="J69" s="578"/>
      <c r="K69" s="578"/>
      <c r="L69" s="405"/>
      <c r="M69" s="405"/>
      <c r="N69" s="405"/>
    </row>
    <row r="70" spans="2:14" hidden="1" x14ac:dyDescent="0.35">
      <c r="B70">
        <v>4</v>
      </c>
      <c r="C70" s="151">
        <v>12</v>
      </c>
      <c r="D70" s="9" t="s">
        <v>397</v>
      </c>
      <c r="E70" s="144"/>
      <c r="G70" s="405"/>
      <c r="H70" s="405"/>
      <c r="I70" s="578"/>
      <c r="J70" s="578"/>
      <c r="K70" s="578"/>
      <c r="L70" s="405"/>
      <c r="M70" s="405"/>
      <c r="N70" s="405"/>
    </row>
    <row r="71" spans="2:14" hidden="1" x14ac:dyDescent="0.35">
      <c r="B71">
        <v>5</v>
      </c>
      <c r="C71" s="151">
        <v>24</v>
      </c>
      <c r="D71" s="9" t="s">
        <v>397</v>
      </c>
      <c r="E71" s="144"/>
      <c r="G71" s="405"/>
      <c r="H71" s="405"/>
      <c r="I71" s="578"/>
      <c r="J71" s="578"/>
      <c r="K71" s="578"/>
      <c r="L71" s="405"/>
      <c r="M71" s="405"/>
      <c r="N71" s="405"/>
    </row>
    <row r="72" spans="2:14" hidden="1" x14ac:dyDescent="0.35">
      <c r="B72">
        <v>6</v>
      </c>
      <c r="C72" s="151">
        <v>48</v>
      </c>
      <c r="D72" s="9" t="s">
        <v>397</v>
      </c>
      <c r="E72" s="144"/>
      <c r="G72" s="405"/>
      <c r="H72" s="405"/>
      <c r="I72" s="578"/>
      <c r="J72" s="578"/>
      <c r="K72" s="578"/>
      <c r="L72" s="405"/>
      <c r="M72" s="405"/>
      <c r="N72" s="405"/>
    </row>
    <row r="73" spans="2:14" hidden="1" x14ac:dyDescent="0.35">
      <c r="B73">
        <v>7</v>
      </c>
      <c r="C73" s="151">
        <v>96</v>
      </c>
      <c r="D73" s="9" t="s">
        <v>397</v>
      </c>
      <c r="E73" s="144"/>
      <c r="G73" s="405"/>
      <c r="H73" s="405"/>
      <c r="I73" s="578"/>
      <c r="J73" s="578"/>
      <c r="K73" s="578"/>
      <c r="L73" s="405"/>
      <c r="M73" s="405"/>
      <c r="N73" s="405"/>
    </row>
    <row r="74" spans="2:14" hidden="1" x14ac:dyDescent="0.35">
      <c r="C74" s="155"/>
      <c r="D74" s="144"/>
      <c r="E74" s="144"/>
      <c r="G74" s="405"/>
      <c r="H74" s="405"/>
      <c r="I74" s="578"/>
      <c r="J74" s="578"/>
      <c r="K74" s="578"/>
      <c r="L74" s="405"/>
      <c r="M74" s="405"/>
      <c r="N74" s="405"/>
    </row>
    <row r="75" spans="2:14" hidden="1" x14ac:dyDescent="0.35">
      <c r="C75" s="147" t="s">
        <v>351</v>
      </c>
      <c r="D75" s="144"/>
      <c r="E75" s="144"/>
      <c r="G75" s="405"/>
      <c r="H75" s="405"/>
      <c r="I75" s="578"/>
      <c r="J75" s="578"/>
      <c r="K75" s="578"/>
      <c r="L75" s="405"/>
      <c r="M75" s="405"/>
      <c r="N75" s="405"/>
    </row>
    <row r="76" spans="2:14" hidden="1" x14ac:dyDescent="0.35">
      <c r="B76">
        <v>0</v>
      </c>
      <c r="C76" s="151">
        <v>0.75</v>
      </c>
      <c r="D76" s="156" t="s">
        <v>27</v>
      </c>
      <c r="E76" s="144"/>
      <c r="G76" s="405"/>
      <c r="H76" s="405"/>
      <c r="I76" s="578"/>
      <c r="J76" s="578"/>
      <c r="K76" s="578"/>
      <c r="L76" s="405"/>
      <c r="M76" s="405"/>
      <c r="N76" s="405"/>
    </row>
    <row r="77" spans="2:14" hidden="1" x14ac:dyDescent="0.35">
      <c r="B77">
        <v>1</v>
      </c>
      <c r="C77" s="151">
        <v>1.5</v>
      </c>
      <c r="D77" s="156" t="s">
        <v>27</v>
      </c>
      <c r="E77" s="144"/>
      <c r="G77" s="405"/>
      <c r="H77" s="405"/>
      <c r="I77" s="578"/>
      <c r="J77" s="578"/>
      <c r="K77" s="578"/>
      <c r="L77" s="405"/>
      <c r="M77" s="405"/>
      <c r="N77" s="405"/>
    </row>
    <row r="78" spans="2:14" hidden="1" x14ac:dyDescent="0.35">
      <c r="B78">
        <v>2</v>
      </c>
      <c r="C78" s="151">
        <v>3</v>
      </c>
      <c r="D78" s="156" t="s">
        <v>27</v>
      </c>
      <c r="E78" s="144"/>
      <c r="G78" s="405"/>
      <c r="H78" s="405"/>
      <c r="I78" s="578"/>
      <c r="J78" s="578"/>
      <c r="K78" s="578"/>
      <c r="L78" s="405"/>
      <c r="M78" s="405"/>
      <c r="N78" s="405"/>
    </row>
    <row r="79" spans="2:14" hidden="1" x14ac:dyDescent="0.35">
      <c r="B79">
        <v>3</v>
      </c>
      <c r="C79" s="151">
        <v>6</v>
      </c>
      <c r="D79" s="156" t="s">
        <v>27</v>
      </c>
      <c r="E79" s="144"/>
      <c r="G79" s="405"/>
      <c r="H79" s="405"/>
      <c r="I79" s="578"/>
      <c r="J79" s="578"/>
      <c r="K79" s="578"/>
      <c r="L79" s="405"/>
      <c r="M79" s="405"/>
      <c r="N79" s="405"/>
    </row>
    <row r="80" spans="2:14" hidden="1" x14ac:dyDescent="0.35">
      <c r="C80" s="155"/>
      <c r="D80" s="144"/>
      <c r="E80" s="144"/>
      <c r="G80" s="405"/>
      <c r="H80" s="405"/>
      <c r="I80" s="578"/>
      <c r="J80" s="578"/>
      <c r="K80" s="578"/>
      <c r="L80" s="405"/>
      <c r="M80" s="405"/>
      <c r="N80" s="405"/>
    </row>
    <row r="81" spans="2:14" hidden="1" x14ac:dyDescent="0.35">
      <c r="C81" s="147" t="s">
        <v>398</v>
      </c>
      <c r="D81" s="144"/>
      <c r="E81" s="144"/>
      <c r="F81" s="118"/>
      <c r="G81" s="405"/>
      <c r="H81" s="405"/>
      <c r="I81" s="578"/>
      <c r="J81" s="578"/>
      <c r="K81" s="578"/>
      <c r="L81" s="405"/>
      <c r="M81" s="405"/>
      <c r="N81" s="405"/>
    </row>
    <row r="82" spans="2:14" hidden="1" x14ac:dyDescent="0.35">
      <c r="B82">
        <v>0</v>
      </c>
      <c r="C82" s="151">
        <v>20.6</v>
      </c>
      <c r="D82" s="9" t="s">
        <v>397</v>
      </c>
      <c r="E82" s="144"/>
      <c r="F82" s="110"/>
      <c r="G82" s="405"/>
      <c r="H82" s="405"/>
      <c r="I82" s="578"/>
      <c r="J82" s="578"/>
      <c r="K82" s="578"/>
      <c r="L82" s="405"/>
      <c r="M82" s="405"/>
      <c r="N82" s="405"/>
    </row>
    <row r="83" spans="2:14" hidden="1" x14ac:dyDescent="0.35">
      <c r="B83">
        <v>1</v>
      </c>
      <c r="C83" s="151">
        <v>417.4</v>
      </c>
      <c r="D83" s="9" t="s">
        <v>397</v>
      </c>
      <c r="E83" s="144"/>
      <c r="F83" s="110"/>
      <c r="G83" s="405"/>
      <c r="H83" s="405"/>
      <c r="I83" s="578"/>
      <c r="J83" s="578"/>
      <c r="K83" s="578"/>
      <c r="L83" s="405"/>
      <c r="M83" s="405"/>
      <c r="N83" s="405"/>
    </row>
    <row r="84" spans="2:14" hidden="1" x14ac:dyDescent="0.35">
      <c r="C84" s="155"/>
      <c r="D84" s="144"/>
      <c r="E84" s="144"/>
      <c r="F84" s="118"/>
      <c r="G84" s="405"/>
      <c r="H84" s="405"/>
      <c r="I84" s="578"/>
      <c r="J84" s="578"/>
      <c r="K84" s="578"/>
      <c r="L84" s="405"/>
      <c r="M84" s="405"/>
      <c r="N84" s="405"/>
    </row>
    <row r="85" spans="2:14" hidden="1" x14ac:dyDescent="0.35">
      <c r="C85" s="147" t="s">
        <v>352</v>
      </c>
      <c r="D85" s="144"/>
      <c r="E85" s="144"/>
      <c r="G85" s="405"/>
      <c r="H85" s="405"/>
      <c r="I85" s="578"/>
      <c r="J85" s="578"/>
      <c r="K85" s="578"/>
      <c r="L85" s="405"/>
      <c r="M85" s="405"/>
      <c r="N85" s="405"/>
    </row>
    <row r="86" spans="2:14" hidden="1" x14ac:dyDescent="0.35">
      <c r="B86">
        <v>0</v>
      </c>
      <c r="C86" s="151">
        <v>3</v>
      </c>
      <c r="D86" s="156" t="s">
        <v>27</v>
      </c>
      <c r="E86" s="144"/>
      <c r="G86" s="405"/>
      <c r="H86" s="405"/>
      <c r="I86" s="578"/>
      <c r="J86" s="578"/>
      <c r="K86" s="578"/>
      <c r="L86" s="405"/>
      <c r="M86" s="405"/>
      <c r="N86" s="405"/>
    </row>
    <row r="87" spans="2:14" hidden="1" x14ac:dyDescent="0.35">
      <c r="B87">
        <v>1</v>
      </c>
      <c r="C87" s="151">
        <v>6</v>
      </c>
      <c r="D87" s="156" t="s">
        <v>27</v>
      </c>
      <c r="E87" s="144"/>
      <c r="G87" s="405"/>
      <c r="H87" s="405"/>
      <c r="I87" s="578"/>
      <c r="J87" s="578"/>
      <c r="K87" s="578"/>
      <c r="L87" s="405"/>
      <c r="M87" s="405"/>
      <c r="N87" s="405"/>
    </row>
    <row r="88" spans="2:14" hidden="1" x14ac:dyDescent="0.35">
      <c r="B88">
        <v>2</v>
      </c>
      <c r="C88" s="151">
        <v>12</v>
      </c>
      <c r="D88" s="156" t="s">
        <v>27</v>
      </c>
      <c r="E88" s="144"/>
      <c r="G88" s="405"/>
      <c r="H88" s="405"/>
      <c r="I88" s="578"/>
      <c r="J88" s="578"/>
      <c r="K88" s="578"/>
      <c r="L88" s="405"/>
      <c r="M88" s="405"/>
      <c r="N88" s="405"/>
    </row>
    <row r="89" spans="2:14" hidden="1" x14ac:dyDescent="0.35">
      <c r="B89">
        <v>3</v>
      </c>
      <c r="C89" s="151">
        <v>24</v>
      </c>
      <c r="D89" s="156" t="s">
        <v>27</v>
      </c>
      <c r="E89" s="144"/>
      <c r="G89" s="405"/>
      <c r="H89" s="405"/>
      <c r="I89" s="578"/>
      <c r="J89" s="578"/>
      <c r="K89" s="578"/>
      <c r="L89" s="405"/>
      <c r="M89" s="405"/>
      <c r="N89" s="405"/>
    </row>
    <row r="90" spans="2:14" hidden="1" x14ac:dyDescent="0.35">
      <c r="C90" s="155"/>
      <c r="D90" s="144"/>
      <c r="E90" s="144"/>
      <c r="G90" s="405"/>
      <c r="H90" s="405"/>
      <c r="I90" s="578"/>
      <c r="J90" s="578"/>
      <c r="K90" s="578"/>
      <c r="L90" s="405"/>
      <c r="M90" s="405"/>
      <c r="N90" s="405"/>
    </row>
    <row r="91" spans="2:14" hidden="1" x14ac:dyDescent="0.35">
      <c r="C91" s="147" t="s">
        <v>399</v>
      </c>
      <c r="D91" s="144"/>
      <c r="E91" s="144"/>
      <c r="G91" s="405"/>
      <c r="H91" s="405"/>
      <c r="I91" s="578"/>
      <c r="J91" s="578"/>
      <c r="K91" s="578"/>
      <c r="L91" s="405"/>
      <c r="M91" s="405"/>
      <c r="N91" s="405"/>
    </row>
    <row r="92" spans="2:14" hidden="1" x14ac:dyDescent="0.35">
      <c r="B92">
        <v>0</v>
      </c>
      <c r="C92" s="151">
        <v>24.6</v>
      </c>
      <c r="D92" s="9" t="s">
        <v>397</v>
      </c>
      <c r="E92" s="144"/>
      <c r="G92" s="405"/>
      <c r="H92" s="405"/>
      <c r="I92" s="578"/>
      <c r="J92" s="578"/>
      <c r="K92" s="578"/>
      <c r="L92" s="405"/>
      <c r="M92" s="405"/>
      <c r="N92" s="405"/>
    </row>
    <row r="93" spans="2:14" hidden="1" x14ac:dyDescent="0.35">
      <c r="B93">
        <v>1</v>
      </c>
      <c r="C93" s="151">
        <v>834.8</v>
      </c>
      <c r="D93" s="9" t="s">
        <v>397</v>
      </c>
      <c r="E93" s="144"/>
      <c r="G93" s="405"/>
      <c r="H93" s="405"/>
      <c r="I93" s="578"/>
      <c r="J93" s="578"/>
      <c r="K93" s="578"/>
      <c r="L93" s="405"/>
      <c r="M93" s="405"/>
      <c r="N93" s="405"/>
    </row>
    <row r="94" spans="2:14" x14ac:dyDescent="0.35">
      <c r="C94" s="543"/>
      <c r="D94" s="9"/>
      <c r="E94" s="144"/>
      <c r="G94" s="405"/>
      <c r="H94" s="405"/>
      <c r="I94" s="578"/>
      <c r="J94" s="578"/>
      <c r="K94" s="578"/>
      <c r="L94" s="405"/>
      <c r="M94" s="405"/>
      <c r="N94" s="405"/>
    </row>
    <row r="95" spans="2:14" ht="15.5" x14ac:dyDescent="0.35">
      <c r="C95" s="542" t="s">
        <v>822</v>
      </c>
      <c r="D95" s="9"/>
      <c r="E95" s="144"/>
      <c r="G95" s="405"/>
      <c r="H95" s="405"/>
      <c r="I95" s="578"/>
      <c r="J95" s="578"/>
      <c r="K95" s="578"/>
      <c r="L95" s="405"/>
      <c r="M95" s="405"/>
      <c r="N95" s="405"/>
    </row>
    <row r="96" spans="2:14" ht="15" x14ac:dyDescent="0.4">
      <c r="C96" s="27" t="s">
        <v>823</v>
      </c>
      <c r="D96" s="544">
        <v>1536</v>
      </c>
      <c r="E96" s="128"/>
      <c r="F96" s="129" t="s">
        <v>824</v>
      </c>
      <c r="N96" s="514"/>
    </row>
    <row r="97" spans="3:9" hidden="1" x14ac:dyDescent="0.35">
      <c r="C97" s="27" t="s">
        <v>825</v>
      </c>
      <c r="D97" s="545">
        <f>LOG((D96/48),2)</f>
        <v>5</v>
      </c>
      <c r="E97" s="128"/>
      <c r="F97" s="129"/>
    </row>
    <row r="98" spans="3:9" hidden="1" x14ac:dyDescent="0.35">
      <c r="C98" s="27" t="s">
        <v>826</v>
      </c>
      <c r="D98" s="545">
        <f>16-(8/MIN(16,D8))</f>
        <v>13.584117292038332</v>
      </c>
      <c r="E98" s="128"/>
      <c r="F98" s="129"/>
    </row>
    <row r="99" spans="3:9" x14ac:dyDescent="0.35">
      <c r="C99" s="7" t="s">
        <v>19</v>
      </c>
      <c r="D99" s="546">
        <v>16</v>
      </c>
      <c r="E99" s="547" t="s">
        <v>0</v>
      </c>
      <c r="F99" s="132" t="str">
        <f>IF(D99&lt;D100/2,"Reference Frequency too low for Sensor","[1MHz to 16 MHz] - Not needed for Rp-only Measurements")</f>
        <v>[1MHz to 16 MHz] - Not needed for Rp-only Measurements</v>
      </c>
    </row>
    <row r="100" spans="3:9" hidden="1" x14ac:dyDescent="0.35">
      <c r="C100" s="109" t="s">
        <v>827</v>
      </c>
      <c r="D100" s="548">
        <f>D17</f>
        <v>4.1350045349280098</v>
      </c>
      <c r="E100" s="549"/>
      <c r="F100" s="132"/>
    </row>
    <row r="101" spans="3:9" hidden="1" x14ac:dyDescent="0.35">
      <c r="C101" s="109" t="s">
        <v>828</v>
      </c>
      <c r="D101" s="550">
        <f>D100/(D99/4)</f>
        <v>1.0337511337320024</v>
      </c>
      <c r="E101" s="549"/>
      <c r="F101" s="132"/>
      <c r="H101" s="513"/>
    </row>
    <row r="102" spans="3:9" hidden="1" x14ac:dyDescent="0.35">
      <c r="C102" s="109" t="s">
        <v>829</v>
      </c>
      <c r="D102" s="551">
        <f>MIN(2^(CEILING(LOG(D101,2),1)),8)</f>
        <v>2</v>
      </c>
      <c r="E102" s="549"/>
      <c r="F102" s="132"/>
    </row>
    <row r="103" spans="3:9" ht="16.5" x14ac:dyDescent="0.45">
      <c r="C103" s="27" t="s">
        <v>830</v>
      </c>
      <c r="D103" s="524">
        <f>(1/D8)*D96/3</f>
        <v>154.61649330954677</v>
      </c>
      <c r="E103" s="552" t="s">
        <v>235</v>
      </c>
      <c r="F103" s="129" t="s">
        <v>831</v>
      </c>
    </row>
    <row r="104" spans="3:9" ht="16.5" x14ac:dyDescent="0.45">
      <c r="C104" s="27" t="s">
        <v>832</v>
      </c>
      <c r="D104" s="553">
        <f>1000/D103</f>
        <v>6.4676153144798763</v>
      </c>
      <c r="E104" s="129" t="s">
        <v>215</v>
      </c>
      <c r="F104" s="118"/>
      <c r="I104"/>
    </row>
    <row r="105" spans="3:9" x14ac:dyDescent="0.35">
      <c r="C105" s="554" t="str">
        <f>IF(E105="hex","RCOUNT Setting (range:0x0003 to 0xFFFF)","RCOUNT Setting (range:3 to 65535)")</f>
        <v>RCOUNT Setting (range:0x0003 to 0xFFFF)</v>
      </c>
      <c r="D105" s="341">
        <v>45</v>
      </c>
      <c r="E105" s="338" t="s">
        <v>410</v>
      </c>
      <c r="F105" s="555" t="str">
        <f>IF(D106&lt;3,"RCOUNT Below Minimum of 3",IF(D106&gt;65535,"RCOUNT exceeds maximum of decimal 65535","For LHR Measurements"))</f>
        <v>For LHR Measurements</v>
      </c>
      <c r="I105"/>
    </row>
    <row r="106" spans="3:9" hidden="1" x14ac:dyDescent="0.35">
      <c r="C106" s="556" t="s">
        <v>425</v>
      </c>
      <c r="D106" s="557">
        <f>IF(E105="hex",HEX2DEC(D105),D105)</f>
        <v>69</v>
      </c>
      <c r="E106" s="487"/>
      <c r="F106" s="558"/>
      <c r="I106"/>
    </row>
    <row r="107" spans="3:9" hidden="1" x14ac:dyDescent="0.35">
      <c r="C107" s="556" t="s">
        <v>833</v>
      </c>
      <c r="D107" s="557" t="b">
        <f>IF(D106&lt;3,FALSE,IF(D106&gt;65535,FALSE,TRUE))</f>
        <v>1</v>
      </c>
      <c r="E107" s="487"/>
      <c r="F107" s="558"/>
      <c r="I107"/>
    </row>
    <row r="108" spans="3:9" hidden="1" x14ac:dyDescent="0.35">
      <c r="C108" s="556" t="s">
        <v>834</v>
      </c>
      <c r="D108" s="559">
        <f>IF(D107,D106,0)</f>
        <v>69</v>
      </c>
      <c r="E108" s="6"/>
      <c r="F108"/>
      <c r="I108"/>
    </row>
    <row r="109" spans="3:9" hidden="1" x14ac:dyDescent="0.35">
      <c r="C109" s="560" t="s">
        <v>835</v>
      </c>
      <c r="D109" s="561">
        <f>MOD(D108,256)</f>
        <v>69</v>
      </c>
      <c r="E109" s="96"/>
      <c r="F109" s="6"/>
      <c r="I109"/>
    </row>
    <row r="110" spans="3:9" hidden="1" x14ac:dyDescent="0.35">
      <c r="C110" s="560" t="s">
        <v>233</v>
      </c>
      <c r="D110" s="562">
        <f>D108*16</f>
        <v>1104</v>
      </c>
      <c r="E110" s="96"/>
      <c r="F110"/>
      <c r="I110"/>
    </row>
    <row r="111" spans="3:9" hidden="1" x14ac:dyDescent="0.35">
      <c r="C111" s="560" t="s">
        <v>411</v>
      </c>
      <c r="D111" s="563">
        <v>55</v>
      </c>
      <c r="E111" s="6"/>
      <c r="F111"/>
      <c r="I111"/>
    </row>
    <row r="112" spans="3:9" hidden="1" x14ac:dyDescent="0.35">
      <c r="C112" s="560" t="s">
        <v>305</v>
      </c>
      <c r="D112" s="563">
        <f>(D110+D111)/D99</f>
        <v>72.4375</v>
      </c>
      <c r="E112" s="22" t="s">
        <v>235</v>
      </c>
      <c r="F112"/>
      <c r="I112"/>
    </row>
    <row r="113" spans="2:9" hidden="1" x14ac:dyDescent="0.35">
      <c r="C113" s="560" t="s">
        <v>836</v>
      </c>
      <c r="D113" s="564">
        <f>8000000/(3*9)</f>
        <v>296296.29629629629</v>
      </c>
      <c r="E113" s="22" t="s">
        <v>468</v>
      </c>
      <c r="F113"/>
      <c r="I113"/>
    </row>
    <row r="114" spans="2:9" hidden="1" x14ac:dyDescent="0.35">
      <c r="C114" s="560" t="s">
        <v>571</v>
      </c>
      <c r="D114" s="565">
        <f>1000000/D113</f>
        <v>3.375</v>
      </c>
      <c r="E114" s="22" t="s">
        <v>235</v>
      </c>
      <c r="F114"/>
      <c r="I114"/>
    </row>
    <row r="115" spans="2:9" x14ac:dyDescent="0.35">
      <c r="C115" s="27" t="s">
        <v>837</v>
      </c>
      <c r="D115" s="37">
        <f>IF(D112&gt;1000,D112/1000,D112)</f>
        <v>72.4375</v>
      </c>
      <c r="E115" s="69" t="str">
        <f>IF(D112&gt;1000,"ms","µs")</f>
        <v>µs</v>
      </c>
      <c r="F115"/>
      <c r="I115"/>
    </row>
    <row r="116" spans="2:9" x14ac:dyDescent="0.35">
      <c r="C116" s="27" t="s">
        <v>838</v>
      </c>
      <c r="D116" s="37">
        <f>1000/D115</f>
        <v>13.805004314063849</v>
      </c>
      <c r="E116" s="70" t="str">
        <f>IF(E115="µs","ksps","sps")</f>
        <v>ksps</v>
      </c>
      <c r="F116" s="76"/>
      <c r="I116"/>
    </row>
    <row r="117" spans="2:9" x14ac:dyDescent="0.35">
      <c r="B117" s="7"/>
      <c r="D117"/>
      <c r="E117"/>
      <c r="F117"/>
      <c r="I117"/>
    </row>
    <row r="118" spans="2:9" ht="15.5" x14ac:dyDescent="0.35">
      <c r="C118" s="23" t="s">
        <v>839</v>
      </c>
      <c r="D118"/>
      <c r="E118" s="9"/>
      <c r="F118"/>
    </row>
    <row r="119" spans="2:9" hidden="1" x14ac:dyDescent="0.35">
      <c r="C119" s="77" t="s">
        <v>281</v>
      </c>
      <c r="D119" s="566">
        <f>D6</f>
        <v>220</v>
      </c>
      <c r="E119" s="9" t="s">
        <v>112</v>
      </c>
      <c r="F119"/>
    </row>
    <row r="120" spans="2:9" x14ac:dyDescent="0.35">
      <c r="C120" s="77" t="s">
        <v>278</v>
      </c>
      <c r="D120" s="30">
        <f>2^24-1</f>
        <v>16777215</v>
      </c>
      <c r="E120" s="9"/>
      <c r="F120"/>
    </row>
    <row r="121" spans="2:9" x14ac:dyDescent="0.35">
      <c r="C121" s="77" t="str">
        <f>IF(E121="dec","Output Code","Output Code           0x")</f>
        <v>Output Code           0x</v>
      </c>
      <c r="D121" s="47" t="s">
        <v>840</v>
      </c>
      <c r="E121" s="324" t="s">
        <v>383</v>
      </c>
      <c r="F121" t="s">
        <v>841</v>
      </c>
    </row>
    <row r="122" spans="2:9" hidden="1" x14ac:dyDescent="0.35">
      <c r="C122" s="77"/>
      <c r="D122" s="183">
        <f>IF(E121="Hex",HEX2DEC(D121),D121)</f>
        <v>3256611</v>
      </c>
      <c r="E122" s="325" t="s">
        <v>400</v>
      </c>
      <c r="F122"/>
    </row>
    <row r="123" spans="2:9" x14ac:dyDescent="0.35">
      <c r="C123" s="77" t="str">
        <f>IF(E123="dec","Channel Offset","Channel Offset           0x")</f>
        <v>Channel Offset           0x</v>
      </c>
      <c r="D123" s="47">
        <v>0</v>
      </c>
      <c r="E123" s="324" t="s">
        <v>383</v>
      </c>
      <c r="F123" t="s">
        <v>280</v>
      </c>
    </row>
    <row r="124" spans="2:9" hidden="1" x14ac:dyDescent="0.35">
      <c r="C124" s="77"/>
      <c r="D124" s="183">
        <f>IF(E123="Hex",HEX2DEC(D123),D123)</f>
        <v>0</v>
      </c>
      <c r="E124" s="9" t="s">
        <v>400</v>
      </c>
      <c r="F124"/>
    </row>
    <row r="125" spans="2:9" hidden="1" x14ac:dyDescent="0.35">
      <c r="C125" s="77" t="s">
        <v>286</v>
      </c>
      <c r="D125" s="566">
        <f>D99</f>
        <v>16</v>
      </c>
      <c r="E125" s="9" t="s">
        <v>0</v>
      </c>
      <c r="F125" s="76"/>
    </row>
    <row r="126" spans="2:9" hidden="1" x14ac:dyDescent="0.35">
      <c r="C126" s="77" t="s">
        <v>284</v>
      </c>
      <c r="D126" s="567">
        <f>D102</f>
        <v>2</v>
      </c>
      <c r="E126" s="9"/>
      <c r="F126"/>
    </row>
    <row r="127" spans="2:9" x14ac:dyDescent="0.35">
      <c r="C127" s="77" t="s">
        <v>842</v>
      </c>
      <c r="D127" s="29">
        <f>D126*(D125)*(D122/D120+D124/65536)</f>
        <v>6.2114929086859769</v>
      </c>
      <c r="E127" s="79" t="s">
        <v>0</v>
      </c>
      <c r="F127" s="76" t="str">
        <f>IF(D127&gt;10,"Note: This sensor frequency is higher than specified max"," ")</f>
        <v xml:space="preserve"> </v>
      </c>
    </row>
    <row r="128" spans="2:9" hidden="1" x14ac:dyDescent="0.35">
      <c r="C128" s="78"/>
      <c r="D128" s="83">
        <f>D119*0.000000000001</f>
        <v>2.1999999999999999E-10</v>
      </c>
      <c r="E128" s="26" t="s">
        <v>110</v>
      </c>
      <c r="F128" s="19"/>
    </row>
    <row r="129" spans="3:6" hidden="1" x14ac:dyDescent="0.35">
      <c r="C129" s="78"/>
      <c r="D129" s="84">
        <f>1/(D128*(D127*1000000*2*PI())^2)</f>
        <v>2.9841839823873213E-6</v>
      </c>
      <c r="E129" s="26" t="s">
        <v>1</v>
      </c>
      <c r="F129" s="19"/>
    </row>
    <row r="130" spans="3:6" ht="15.5" x14ac:dyDescent="0.35">
      <c r="C130" s="77" t="s">
        <v>300</v>
      </c>
      <c r="D130" s="49">
        <f>D129*1000000</f>
        <v>2.9841839823873215</v>
      </c>
      <c r="E130" s="25" t="s">
        <v>109</v>
      </c>
      <c r="F130"/>
    </row>
    <row r="131" spans="3:6" x14ac:dyDescent="0.35">
      <c r="D131"/>
      <c r="E131"/>
      <c r="F131"/>
    </row>
    <row r="132" spans="3:6" ht="17.5" x14ac:dyDescent="0.45">
      <c r="C132" s="23" t="s">
        <v>843</v>
      </c>
      <c r="D132"/>
      <c r="E132"/>
      <c r="F132"/>
    </row>
    <row r="133" spans="3:6" hidden="1" x14ac:dyDescent="0.35">
      <c r="C133" s="77" t="s">
        <v>111</v>
      </c>
      <c r="D133" s="567">
        <f>D96</f>
        <v>1536</v>
      </c>
      <c r="E133"/>
      <c r="F133" t="s">
        <v>401</v>
      </c>
    </row>
    <row r="134" spans="3:6" x14ac:dyDescent="0.35">
      <c r="C134" s="77" t="str">
        <f>IF(E134="decimal","Count Output","Count Output           0x")</f>
        <v>Count Output</v>
      </c>
      <c r="D134" s="47">
        <v>2638</v>
      </c>
      <c r="E134" s="324" t="s">
        <v>403</v>
      </c>
      <c r="F134" t="s">
        <v>844</v>
      </c>
    </row>
    <row r="135" spans="3:6" hidden="1" x14ac:dyDescent="0.35">
      <c r="C135" s="77"/>
      <c r="D135" s="134">
        <f>IF(E134="Hex",HEX2DEC(D134),D134)</f>
        <v>2638</v>
      </c>
      <c r="E135" s="9" t="s">
        <v>400</v>
      </c>
      <c r="F135"/>
    </row>
    <row r="136" spans="3:6" hidden="1" x14ac:dyDescent="0.35">
      <c r="C136" s="77" t="s">
        <v>19</v>
      </c>
      <c r="D136" s="566">
        <f>D99</f>
        <v>16</v>
      </c>
      <c r="E136" s="9" t="s">
        <v>0</v>
      </c>
      <c r="F136"/>
    </row>
    <row r="137" spans="3:6" x14ac:dyDescent="0.35">
      <c r="C137" s="77" t="s">
        <v>2</v>
      </c>
      <c r="D137" s="29">
        <f>D136*D133/(3*D135)</f>
        <v>3.1053828658074298</v>
      </c>
      <c r="E137" s="79" t="s">
        <v>0</v>
      </c>
      <c r="F137" s="76"/>
    </row>
    <row r="138" spans="3:6" hidden="1" x14ac:dyDescent="0.35">
      <c r="C138" s="77" t="s">
        <v>281</v>
      </c>
      <c r="D138" s="566">
        <f>D6</f>
        <v>220</v>
      </c>
      <c r="E138" s="9" t="s">
        <v>112</v>
      </c>
      <c r="F138"/>
    </row>
    <row r="139" spans="3:6" hidden="1" x14ac:dyDescent="0.35">
      <c r="C139" s="78"/>
      <c r="D139" s="83">
        <f>D138*0.000000000001</f>
        <v>2.1999999999999999E-10</v>
      </c>
      <c r="E139" s="26" t="s">
        <v>110</v>
      </c>
      <c r="F139" s="19"/>
    </row>
    <row r="140" spans="3:6" hidden="1" x14ac:dyDescent="0.35">
      <c r="C140" s="78"/>
      <c r="D140" s="84">
        <f>1/(D139*(D137*1000000*2*PI())^2)</f>
        <v>1.1939531278527409E-5</v>
      </c>
      <c r="E140" s="26" t="s">
        <v>1</v>
      </c>
      <c r="F140" s="19"/>
    </row>
    <row r="141" spans="3:6" x14ac:dyDescent="0.35">
      <c r="C141" s="77" t="s">
        <v>113</v>
      </c>
      <c r="D141" s="37">
        <f>D140*1000000</f>
        <v>11.93953127852741</v>
      </c>
      <c r="E141" s="25" t="s">
        <v>109</v>
      </c>
      <c r="F141"/>
    </row>
    <row r="142" spans="3:6" ht="14" hidden="1" customHeight="1" x14ac:dyDescent="0.35">
      <c r="C142" s="138" t="s">
        <v>371</v>
      </c>
      <c r="D142" s="183">
        <f>D20</f>
        <v>3</v>
      </c>
      <c r="E142" s="20" t="s">
        <v>375</v>
      </c>
      <c r="F142"/>
    </row>
    <row r="143" spans="3:6" hidden="1" x14ac:dyDescent="0.35">
      <c r="C143" s="138" t="s">
        <v>370</v>
      </c>
      <c r="D143" s="183">
        <f>D21</f>
        <v>12</v>
      </c>
      <c r="E143" s="20" t="s">
        <v>375</v>
      </c>
      <c r="F143"/>
    </row>
    <row r="144" spans="3:6" hidden="1" x14ac:dyDescent="0.35">
      <c r="C144" s="138" t="s">
        <v>377</v>
      </c>
      <c r="D144" s="183">
        <v>65535</v>
      </c>
      <c r="E144" s="22" t="s">
        <v>400</v>
      </c>
      <c r="F144"/>
    </row>
    <row r="145" spans="3:6" x14ac:dyDescent="0.35">
      <c r="C145" s="138" t="str">
        <f>IF(E145="Hex","RP Data Output                0x","RP Data Output")</f>
        <v>RP Data Output                0x</v>
      </c>
      <c r="D145" s="47" t="s">
        <v>443</v>
      </c>
      <c r="E145" s="324" t="s">
        <v>383</v>
      </c>
      <c r="F145" t="s">
        <v>845</v>
      </c>
    </row>
    <row r="146" spans="3:6" hidden="1" x14ac:dyDescent="0.35">
      <c r="C146" s="138" t="s">
        <v>379</v>
      </c>
      <c r="D146" s="134">
        <f>IF(E145="Decimal",D145,HEX2DEC(D145))</f>
        <v>13297</v>
      </c>
      <c r="E146" s="9" t="s">
        <v>400</v>
      </c>
      <c r="F146"/>
    </row>
    <row r="147" spans="3:6" ht="16.5" x14ac:dyDescent="0.45">
      <c r="C147" s="158" t="s">
        <v>405</v>
      </c>
      <c r="D147" s="105">
        <f>(D142*D143)/(D143*(1-D146/65535)+D142*(D146/65535))</f>
        <v>3.538463615134376</v>
      </c>
      <c r="E147" s="20" t="s">
        <v>375</v>
      </c>
      <c r="F147"/>
    </row>
  </sheetData>
  <sheetProtection sheet="1" objects="1" scenarios="1"/>
  <conditionalFormatting sqref="F6:F7 F38:F44 F20:F29 F96:F98 F103:F104 F9:F17">
    <cfRule type="cellIs" dxfId="24" priority="15" operator="equal">
      <formula>"in range"</formula>
    </cfRule>
  </conditionalFormatting>
  <conditionalFormatting sqref="F35:F36 F32:F33">
    <cfRule type="cellIs" dxfId="23" priority="14" operator="equal">
      <formula>"in range"</formula>
    </cfRule>
  </conditionalFormatting>
  <conditionalFormatting sqref="F6:F7 F38:F44 F35:F36 F20:F29 F32:F33 F96:F98 F103:F104 F9:F17">
    <cfRule type="cellIs" dxfId="22" priority="12" operator="equal">
      <formula>"too small"</formula>
    </cfRule>
    <cfRule type="cellIs" dxfId="21" priority="13" operator="equal">
      <formula>"too large"</formula>
    </cfRule>
  </conditionalFormatting>
  <conditionalFormatting sqref="F39">
    <cfRule type="cellIs" dxfId="20" priority="11" operator="equal">
      <formula>"in range"</formula>
    </cfRule>
  </conditionalFormatting>
  <conditionalFormatting sqref="F8">
    <cfRule type="cellIs" dxfId="19" priority="8" operator="equal">
      <formula>"In range"</formula>
    </cfRule>
    <cfRule type="cellIs" dxfId="18" priority="9" operator="equal">
      <formula>"too low"</formula>
    </cfRule>
    <cfRule type="cellIs" dxfId="17" priority="10" operator="equal">
      <formula>"too high"</formula>
    </cfRule>
  </conditionalFormatting>
  <conditionalFormatting sqref="F34">
    <cfRule type="cellIs" dxfId="16" priority="5" operator="equal">
      <formula>"In Range"</formula>
    </cfRule>
    <cfRule type="cellIs" dxfId="15" priority="6" operator="equal">
      <formula>"too high"</formula>
    </cfRule>
    <cfRule type="cellIs" dxfId="14" priority="7" operator="equal">
      <formula>"too low"</formula>
    </cfRule>
  </conditionalFormatting>
  <conditionalFormatting sqref="D21">
    <cfRule type="cellIs" dxfId="13" priority="4" operator="greaterThan">
      <formula>$D$20</formula>
    </cfRule>
  </conditionalFormatting>
  <conditionalFormatting sqref="F105">
    <cfRule type="expression" dxfId="12" priority="3">
      <formula>$D$107</formula>
    </cfRule>
  </conditionalFormatting>
  <conditionalFormatting sqref="D125">
    <cfRule type="cellIs" dxfId="11" priority="1" operator="greaterThan">
      <formula>42</formula>
    </cfRule>
    <cfRule type="cellIs" dxfId="10" priority="2" operator="greaterThan">
      <formula>40</formula>
    </cfRule>
  </conditionalFormatting>
  <dataValidations count="22">
    <dataValidation type="list" allowBlank="1" showInputMessage="1" showErrorMessage="1" sqref="D20:D21">
      <formula1>$C$66:$C$73</formula1>
    </dataValidation>
    <dataValidation errorStyle="warning" allowBlank="1" showInputMessage="1" showErrorMessage="1" errorTitle="Invalid Reference Count" error="The LDC131x/161x minimum reference count is 48 and the maximum reference count is 1048560." sqref="D110"/>
    <dataValidation allowBlank="1" showInputMessage="1" showErrorMessage="1" errorTitle="Invalid RCount" error="Rcount is restricted to the range of 3 to 65535 (0x0003 to 0xFFFF)." sqref="D105"/>
    <dataValidation type="list" allowBlank="1" showInputMessage="1" showErrorMessage="1" sqref="E105">
      <formula1>"hex,decimal"</formula1>
    </dataValidation>
    <dataValidation type="list" allowBlank="1" showInputMessage="1" showErrorMessage="1" sqref="D96">
      <formula1>"192,384,768, 1536,3072,6144"</formula1>
    </dataValidation>
    <dataValidation type="decimal" errorStyle="warning" allowBlank="1" showInputMessage="1" showErrorMessage="1" errorTitle="Fref Invalid" error="This Reference frequency is outside the LDC1101 specified range of 1MHz to 16MHz." sqref="D99">
      <formula1>1</formula1>
      <formula2>16</formula2>
    </dataValidation>
    <dataValidation allowBlank="1" showInputMessage="1" showErrorMessage="1" errorTitle="Invalid Number of Channels" error="LDC1312 &amp; LDC1612 maximum setting is 2 channels. _x000a_LDC1314 &amp; LDC1614 maximum setting is 4 channels." sqref="D111:D114"/>
    <dataValidation type="decimal" allowBlank="1" showInputMessage="1" showErrorMessage="1" sqref="D122">
      <formula1>0</formula1>
      <formula2>D120</formula2>
    </dataValidation>
    <dataValidation type="list" allowBlank="1" showInputMessage="1" showErrorMessage="1" sqref="E134 E121 E123">
      <formula1>"Hex,decimal"</formula1>
    </dataValidation>
    <dataValidation errorStyle="warning" allowBlank="1" showInputMessage="1" showErrorMessage="1" errorTitle="Invalid Output Code" error="The output code entered exceeds the maximum output code for the device." sqref="D145"/>
    <dataValidation type="list" allowBlank="1" showInputMessage="1" showErrorMessage="1" sqref="E145">
      <formula1>"Hex,Decimal"</formula1>
    </dataValidation>
    <dataValidation type="whole" errorStyle="warning" allowBlank="1" showInputMessage="1" showErrorMessage="1" errorTitle="Invalid Output Code" error="The output code entered exceeds the maximum output code for the device." sqref="D146">
      <formula1>0</formula1>
      <formula2>#REF!</formula2>
    </dataValidation>
    <dataValidation type="list" allowBlank="1" showInputMessage="1" showErrorMessage="1" sqref="D142:D143">
      <formula1>$C$84:$C$115</formula1>
    </dataValidation>
    <dataValidation type="whole" allowBlank="1" showInputMessage="1" showErrorMessage="1" sqref="D134:D135 D124">
      <formula1>0</formula1>
      <formula2>20000000</formula2>
    </dataValidation>
    <dataValidation allowBlank="1" showInputMessage="1" showErrorMessage="1" errorTitle="Invalid Output Code" error="The output code must be between 0 and the full-scale output code." sqref="D121"/>
    <dataValidation errorStyle="warning" operator="lessThanOrEqual" allowBlank="1" showInputMessage="1" showErrorMessage="1" errorTitle="Frequency too High" error="The Multichannel LDC devices have a FIN divider between 1 and 15." sqref="D126"/>
    <dataValidation type="decimal" allowBlank="1" showInputMessage="1" showErrorMessage="1" errorTitle="Invalid setting" error="The Offset register programmed value can only be between 0 and 65535." sqref="D123">
      <formula1>0</formula1>
      <formula2>65535</formula2>
    </dataValidation>
    <dataValidation type="decimal" errorStyle="warning" operator="lessThanOrEqual" allowBlank="1" showInputMessage="1" showErrorMessage="1" errorTitle="Frequency too High" error="This exceeds the maximum CLKIN frequency." sqref="D125">
      <formula1>#REF!</formula1>
    </dataValidation>
    <dataValidation type="decimal" errorStyle="information" operator="greaterThan" allowBlank="1" showInputMessage="1" showErrorMessage="1" errorTitle="Low Sensor Capacitance" error="Sensor capacitances which are too low are not recommended, as parasitic effects may influence the measurement." sqref="D119 D138">
      <formula1>80</formula1>
    </dataValidation>
    <dataValidation type="decimal" errorStyle="warning" allowBlank="1" showInputMessage="1" showErrorMessage="1" errorTitle="Frequency too High" error="Entered frequency exceeds maximum specified Reference freuqency." sqref="D136">
      <formula1>1</formula1>
      <formula2>#REF!</formula2>
    </dataValidation>
    <dataValidation type="list" allowBlank="1" showInputMessage="1" showErrorMessage="1" sqref="D133">
      <formula1>"192,384,768,1536,3072,6144"</formula1>
    </dataValidation>
    <dataValidation type="list" allowBlank="1" showInputMessage="1" showErrorMessage="1" sqref="E11:E12">
      <formula1>"mm, mil"</formula1>
    </dataValidation>
  </dataValidations>
  <hyperlinks>
    <hyperlink ref="H2" location="Contents!A1" display="Return to Main Page"/>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59999389629810485"/>
  </sheetPr>
  <dimension ref="A2:O111"/>
  <sheetViews>
    <sheetView showGridLines="0" showRowColHeaders="0" topLeftCell="A4" workbookViewId="0">
      <selection activeCell="F45" sqref="F45"/>
    </sheetView>
  </sheetViews>
  <sheetFormatPr defaultRowHeight="14.5" x14ac:dyDescent="0.35"/>
  <cols>
    <col min="1" max="1" width="7.26953125" customWidth="1"/>
    <col min="2" max="2" width="4.7265625" customWidth="1"/>
    <col min="3" max="3" width="23.26953125" customWidth="1"/>
    <col min="4" max="4" width="14.26953125" customWidth="1"/>
    <col min="5" max="5" width="7.7265625" customWidth="1"/>
    <col min="6" max="6" width="43.54296875" customWidth="1"/>
    <col min="9" max="9" width="11.81640625" bestFit="1" customWidth="1"/>
  </cols>
  <sheetData>
    <row r="2" spans="2:7" ht="18.5" x14ac:dyDescent="0.45">
      <c r="B2" s="4" t="s">
        <v>287</v>
      </c>
      <c r="F2" s="21" t="s">
        <v>211</v>
      </c>
    </row>
    <row r="3" spans="2:7" x14ac:dyDescent="0.35">
      <c r="C3" t="s">
        <v>369</v>
      </c>
    </row>
    <row r="4" spans="2:7" x14ac:dyDescent="0.35">
      <c r="E4" s="9"/>
    </row>
    <row r="5" spans="2:7" x14ac:dyDescent="0.35">
      <c r="B5" s="10" t="s">
        <v>367</v>
      </c>
      <c r="E5" s="9"/>
    </row>
    <row r="6" spans="2:7" x14ac:dyDescent="0.35">
      <c r="C6" t="s">
        <v>274</v>
      </c>
      <c r="E6" s="9"/>
    </row>
    <row r="7" spans="2:7" x14ac:dyDescent="0.35">
      <c r="C7" t="s">
        <v>381</v>
      </c>
      <c r="E7" s="9"/>
    </row>
    <row r="8" spans="2:7" x14ac:dyDescent="0.35">
      <c r="E8" s="9"/>
    </row>
    <row r="9" spans="2:7" x14ac:dyDescent="0.35">
      <c r="C9" s="77" t="s">
        <v>285</v>
      </c>
      <c r="D9" s="47" t="s">
        <v>413</v>
      </c>
      <c r="E9" s="9"/>
    </row>
    <row r="10" spans="2:7" x14ac:dyDescent="0.35">
      <c r="C10" s="77" t="s">
        <v>281</v>
      </c>
      <c r="D10" s="47">
        <v>200</v>
      </c>
      <c r="E10" s="9" t="s">
        <v>112</v>
      </c>
      <c r="F10" t="s">
        <v>414</v>
      </c>
    </row>
    <row r="11" spans="2:7" x14ac:dyDescent="0.35">
      <c r="C11" s="77" t="s">
        <v>278</v>
      </c>
      <c r="D11" s="30">
        <f>IF(D9="LDC131x",2^12-1,IF(D9="LDC161x",2^28-1,2^24-1))</f>
        <v>268435455</v>
      </c>
      <c r="E11" s="9"/>
    </row>
    <row r="12" spans="2:7" x14ac:dyDescent="0.35">
      <c r="C12" s="77" t="s">
        <v>279</v>
      </c>
      <c r="D12" s="17">
        <v>0</v>
      </c>
      <c r="E12" s="9"/>
      <c r="F12" t="str">
        <f>IF(D9="LDC131x","Value programmed into OUTPUT_GAIN Field","")</f>
        <v/>
      </c>
    </row>
    <row r="13" spans="2:7" ht="15" customHeight="1" x14ac:dyDescent="0.5">
      <c r="C13" s="77" t="str">
        <f>IF(E13="dec","Output Code","Output Code           0x")</f>
        <v>Output Code           0x</v>
      </c>
      <c r="D13" s="47" t="s">
        <v>412</v>
      </c>
      <c r="E13" s="324" t="s">
        <v>383</v>
      </c>
      <c r="F13" t="str">
        <f>IF(D9="LDC131x","LDC output from Registers [0x00-0x07]",IF(D9="LDC161x","LDC output from Registers [0x00-0x08]","LDC output from Registers [0x38-0x3A]"))</f>
        <v>LDC output from Registers [0x00-0x08]</v>
      </c>
      <c r="G13" s="157"/>
    </row>
    <row r="14" spans="2:7" ht="15" hidden="1" customHeight="1" x14ac:dyDescent="0.5">
      <c r="C14" s="77"/>
      <c r="D14" s="183">
        <f>IF(E13="Hex",HEX2DEC(D13),D13)</f>
        <v>700707</v>
      </c>
      <c r="E14" s="325" t="s">
        <v>400</v>
      </c>
      <c r="G14" s="157"/>
    </row>
    <row r="15" spans="2:7" x14ac:dyDescent="0.35">
      <c r="C15" s="77" t="str">
        <f>IF(E15="dec","Channel Offset","Channel Offset           0x")</f>
        <v>Channel Offset           0x</v>
      </c>
      <c r="D15" s="47">
        <v>0</v>
      </c>
      <c r="E15" s="324" t="s">
        <v>383</v>
      </c>
      <c r="F15" t="s">
        <v>280</v>
      </c>
    </row>
    <row r="16" spans="2:7" hidden="1" x14ac:dyDescent="0.35">
      <c r="C16" s="77"/>
      <c r="D16" s="183">
        <f>IF(E15="Hex",HEX2DEC(D15),D15)</f>
        <v>0</v>
      </c>
      <c r="E16" s="9" t="s">
        <v>400</v>
      </c>
    </row>
    <row r="17" spans="2:9" hidden="1" x14ac:dyDescent="0.35">
      <c r="C17" s="77" t="s">
        <v>380</v>
      </c>
      <c r="D17" s="183">
        <f>IF(D9="LDC1101",16,42)</f>
        <v>42</v>
      </c>
      <c r="E17" s="9" t="s">
        <v>0</v>
      </c>
    </row>
    <row r="18" spans="2:9" x14ac:dyDescent="0.35">
      <c r="C18" s="77" t="s">
        <v>286</v>
      </c>
      <c r="D18" s="322">
        <v>40</v>
      </c>
      <c r="E18" s="9" t="s">
        <v>0</v>
      </c>
      <c r="F18" s="76" t="str">
        <f>IF(D18&gt;D17,"Reference frequency is above maximum spec","")</f>
        <v/>
      </c>
    </row>
    <row r="19" spans="2:9" x14ac:dyDescent="0.35">
      <c r="C19" s="77" t="s">
        <v>283</v>
      </c>
      <c r="D19" s="323">
        <v>1</v>
      </c>
      <c r="E19" s="9"/>
    </row>
    <row r="20" spans="2:9" x14ac:dyDescent="0.35">
      <c r="C20" s="77" t="s">
        <v>284</v>
      </c>
      <c r="D20" s="323">
        <v>1</v>
      </c>
      <c r="E20" s="9"/>
    </row>
    <row r="21" spans="2:9" x14ac:dyDescent="0.35">
      <c r="C21" s="77" t="s">
        <v>2</v>
      </c>
      <c r="D21" s="29">
        <f>IF(D9="LDC131x",D20*(D18/D19)*(D14/(2^(12+D12))+D16/65536),D20*(D18/D19)*(D14/D11+D16/65536))</f>
        <v>0.10441347995554462</v>
      </c>
      <c r="E21" s="79" t="s">
        <v>0</v>
      </c>
      <c r="F21" s="76" t="str">
        <f>IF(D21&gt;10,"Note: This sensor frequency is higher than specified max"," ")</f>
        <v xml:space="preserve"> </v>
      </c>
      <c r="I21" s="16"/>
    </row>
    <row r="22" spans="2:9" hidden="1" x14ac:dyDescent="0.35">
      <c r="C22" s="78"/>
      <c r="D22" s="83">
        <f>D10*0.000000000001</f>
        <v>2.0000000000000001E-10</v>
      </c>
      <c r="E22" s="26" t="s">
        <v>110</v>
      </c>
      <c r="F22" s="19"/>
    </row>
    <row r="23" spans="2:9" hidden="1" x14ac:dyDescent="0.35">
      <c r="C23" s="78"/>
      <c r="D23" s="84">
        <f>1/(D22*(D21*1000000*2*PI())^2)</f>
        <v>1.1617083922964712E-2</v>
      </c>
      <c r="E23" s="26" t="s">
        <v>1</v>
      </c>
      <c r="F23" s="19"/>
    </row>
    <row r="24" spans="2:9" x14ac:dyDescent="0.35">
      <c r="C24" s="77" t="s">
        <v>113</v>
      </c>
      <c r="D24" s="37">
        <f>D23*1000000</f>
        <v>11617.083922964712</v>
      </c>
      <c r="E24" s="25" t="s">
        <v>109</v>
      </c>
      <c r="I24" s="16"/>
    </row>
    <row r="25" spans="2:9" x14ac:dyDescent="0.35">
      <c r="C25" s="77"/>
      <c r="D25" s="135"/>
      <c r="E25" s="25"/>
      <c r="I25" s="16"/>
    </row>
    <row r="27" spans="2:9" x14ac:dyDescent="0.35">
      <c r="B27" s="10" t="s">
        <v>368</v>
      </c>
    </row>
    <row r="28" spans="2:9" ht="15.5" x14ac:dyDescent="0.35">
      <c r="B28" s="23"/>
      <c r="C28" t="s">
        <v>363</v>
      </c>
    </row>
    <row r="29" spans="2:9" ht="15.5" x14ac:dyDescent="0.35">
      <c r="B29" s="23"/>
      <c r="C29" t="s">
        <v>364</v>
      </c>
    </row>
    <row r="30" spans="2:9" ht="15.5" x14ac:dyDescent="0.35">
      <c r="B30" s="23"/>
    </row>
    <row r="31" spans="2:9" ht="15.5" x14ac:dyDescent="0.35">
      <c r="B31" s="23"/>
      <c r="C31" t="s">
        <v>15</v>
      </c>
      <c r="D31" s="326" t="s">
        <v>360</v>
      </c>
    </row>
    <row r="32" spans="2:9" x14ac:dyDescent="0.35">
      <c r="C32" s="77" t="s">
        <v>111</v>
      </c>
      <c r="D32" s="47">
        <v>6144</v>
      </c>
      <c r="F32" t="s">
        <v>401</v>
      </c>
    </row>
    <row r="33" spans="2:6" x14ac:dyDescent="0.35">
      <c r="C33" s="77" t="str">
        <f>IF(E33="decimal","Count Output","Count Output           0x")</f>
        <v>Count Output</v>
      </c>
      <c r="D33" s="47">
        <v>7154</v>
      </c>
      <c r="E33" s="324" t="s">
        <v>403</v>
      </c>
      <c r="F33" t="s">
        <v>180</v>
      </c>
    </row>
    <row r="34" spans="2:6" hidden="1" x14ac:dyDescent="0.35">
      <c r="C34" s="77"/>
      <c r="D34" s="134">
        <f>IF(E33="Hex",HEX2DEC(D33),D33)</f>
        <v>7154</v>
      </c>
      <c r="E34" s="9" t="s">
        <v>400</v>
      </c>
    </row>
    <row r="35" spans="2:6" x14ac:dyDescent="0.35">
      <c r="C35" s="77" t="s">
        <v>365</v>
      </c>
      <c r="D35" s="39">
        <f>IF(D31="LDC1101",16,8)</f>
        <v>16</v>
      </c>
      <c r="E35" s="9" t="s">
        <v>0</v>
      </c>
    </row>
    <row r="36" spans="2:6" x14ac:dyDescent="0.35">
      <c r="C36" s="77" t="s">
        <v>19</v>
      </c>
      <c r="D36" s="322">
        <v>8</v>
      </c>
      <c r="E36" s="9" t="s">
        <v>0</v>
      </c>
      <c r="F36" t="s">
        <v>419</v>
      </c>
    </row>
    <row r="37" spans="2:6" x14ac:dyDescent="0.35">
      <c r="C37" s="77" t="s">
        <v>366</v>
      </c>
      <c r="D37" s="39">
        <f>IF(D31="LDC1101",10,5)</f>
        <v>10</v>
      </c>
      <c r="E37" s="9" t="s">
        <v>0</v>
      </c>
      <c r="F37" s="19"/>
    </row>
    <row r="38" spans="2:6" x14ac:dyDescent="0.35">
      <c r="C38" s="77" t="s">
        <v>2</v>
      </c>
      <c r="D38" s="29">
        <f>D36*D32/(3*D34)</f>
        <v>2.2901873077998323</v>
      </c>
      <c r="E38" s="79" t="s">
        <v>0</v>
      </c>
      <c r="F38" s="76" t="str">
        <f>IF(D38&gt;D37,"Note: This sensor frequency is higher than specified max"," ")</f>
        <v xml:space="preserve"> </v>
      </c>
    </row>
    <row r="39" spans="2:6" x14ac:dyDescent="0.35">
      <c r="C39" s="77" t="s">
        <v>281</v>
      </c>
      <c r="D39" s="47">
        <v>220</v>
      </c>
      <c r="E39" s="9" t="s">
        <v>112</v>
      </c>
      <c r="F39" t="s">
        <v>282</v>
      </c>
    </row>
    <row r="40" spans="2:6" hidden="1" x14ac:dyDescent="0.35">
      <c r="C40" s="78"/>
      <c r="D40" s="83">
        <f>D39*0.000000000001</f>
        <v>2.1999999999999999E-10</v>
      </c>
      <c r="E40" s="26" t="s">
        <v>110</v>
      </c>
      <c r="F40" s="19"/>
    </row>
    <row r="41" spans="2:6" hidden="1" x14ac:dyDescent="0.35">
      <c r="C41" s="78"/>
      <c r="D41" s="84">
        <f>1/(D40*(D38*1000000*2*PI())^2)</f>
        <v>2.1952074882992174E-5</v>
      </c>
      <c r="E41" s="26" t="s">
        <v>1</v>
      </c>
      <c r="F41" s="19"/>
    </row>
    <row r="42" spans="2:6" x14ac:dyDescent="0.35">
      <c r="C42" s="77" t="s">
        <v>113</v>
      </c>
      <c r="D42" s="37">
        <f>D41*1000000</f>
        <v>21.952074882992175</v>
      </c>
      <c r="E42" s="25" t="s">
        <v>109</v>
      </c>
    </row>
    <row r="43" spans="2:6" x14ac:dyDescent="0.35">
      <c r="C43" s="77" t="s">
        <v>273</v>
      </c>
      <c r="D43" s="67">
        <f>1/(D34/D38/1000)</f>
        <v>0.32012682524459496</v>
      </c>
      <c r="E43" s="9" t="s">
        <v>215</v>
      </c>
    </row>
    <row r="44" spans="2:6" x14ac:dyDescent="0.35">
      <c r="E44" s="9"/>
    </row>
    <row r="45" spans="2:6" ht="16.5" x14ac:dyDescent="0.45">
      <c r="B45" s="10" t="s">
        <v>404</v>
      </c>
    </row>
    <row r="46" spans="2:6" x14ac:dyDescent="0.35">
      <c r="C46" s="64" t="s">
        <v>15</v>
      </c>
      <c r="D46" s="326" t="s">
        <v>360</v>
      </c>
    </row>
    <row r="47" spans="2:6" x14ac:dyDescent="0.35">
      <c r="C47" s="138" t="s">
        <v>371</v>
      </c>
      <c r="D47" s="47">
        <v>1.026</v>
      </c>
      <c r="E47" s="20" t="s">
        <v>375</v>
      </c>
      <c r="F47" t="str">
        <f>IF(D48&lt;D47,"RP Min must be less than Rpmax setting!","Register 0x01")</f>
        <v>Register 0x01</v>
      </c>
    </row>
    <row r="48" spans="2:6" x14ac:dyDescent="0.35">
      <c r="C48" s="138" t="s">
        <v>370</v>
      </c>
      <c r="D48" s="47">
        <v>27.704000000000001</v>
      </c>
      <c r="E48" s="20" t="s">
        <v>375</v>
      </c>
      <c r="F48" t="str">
        <f>IF(D48&lt;D47,"RP Min must be less than Rpmax setting!",IF(D46="LDC1101","Register 0x01", "Register 0x02"))</f>
        <v>Register 0x01</v>
      </c>
    </row>
    <row r="49" spans="1:15" hidden="1" x14ac:dyDescent="0.35">
      <c r="C49" s="138" t="s">
        <v>377</v>
      </c>
      <c r="D49" s="183">
        <f>IF(D46="LDC1041/1051",255,IF(D46="LDC1000",32768,IF(D46="LDC1101",65535)))</f>
        <v>65535</v>
      </c>
      <c r="E49" s="22" t="s">
        <v>400</v>
      </c>
    </row>
    <row r="50" spans="1:15" x14ac:dyDescent="0.35">
      <c r="C50" s="138" t="str">
        <f>IF(E50="Hex","RP Data Output                0x","RP Data Output")</f>
        <v>RP Data Output</v>
      </c>
      <c r="D50" s="47">
        <v>10000</v>
      </c>
      <c r="E50" s="324" t="s">
        <v>400</v>
      </c>
      <c r="F50" t="str">
        <f>IF(D51&gt;D49,"Output Code exceeds maximum for device!",IF(D46="LDC1041/1051","LDC output from Register 0x22","LDC output from Registers [0x21:0x22]"))</f>
        <v>LDC output from Registers [0x21:0x22]</v>
      </c>
    </row>
    <row r="51" spans="1:15" hidden="1" x14ac:dyDescent="0.35">
      <c r="C51" s="138" t="s">
        <v>379</v>
      </c>
      <c r="D51" s="134">
        <f>IF(E50="Decimal",D50,HEX2DEC(D50))</f>
        <v>10000</v>
      </c>
      <c r="E51" s="9" t="s">
        <v>400</v>
      </c>
    </row>
    <row r="52" spans="1:15" hidden="1" x14ac:dyDescent="0.35">
      <c r="C52" s="138" t="s">
        <v>378</v>
      </c>
      <c r="D52" s="126">
        <f>(D47*D48*1000)/(D47*1000*(1-D51/D49)+D48*1000*D51/D49)</f>
        <v>5.5768901306815248</v>
      </c>
      <c r="E52" s="20" t="s">
        <v>375</v>
      </c>
    </row>
    <row r="53" spans="1:15" hidden="1" x14ac:dyDescent="0.35">
      <c r="C53" s="138" t="s">
        <v>376</v>
      </c>
      <c r="D53" s="126">
        <f>(D47*D48)/(D48*(1-D51/65535)+D47*(D51/65535))</f>
        <v>1.2027277829070482</v>
      </c>
      <c r="E53" s="20" t="s">
        <v>375</v>
      </c>
    </row>
    <row r="54" spans="1:15" ht="16.5" x14ac:dyDescent="0.45">
      <c r="C54" s="158" t="s">
        <v>405</v>
      </c>
      <c r="D54" s="568">
        <f>IF(D46="LDC1101",D53,(D47*D48*1000)/(D47*1000*(1-D51/D49)+D48*1000*D51/D49))</f>
        <v>1.2027277829070482</v>
      </c>
      <c r="E54" s="20" t="s">
        <v>375</v>
      </c>
    </row>
    <row r="55" spans="1:15" x14ac:dyDescent="0.35">
      <c r="F55" s="405"/>
      <c r="G55" s="405"/>
      <c r="H55" s="405"/>
      <c r="I55" s="405"/>
      <c r="J55" s="405"/>
      <c r="K55" s="405"/>
      <c r="L55" s="405"/>
      <c r="M55" s="405"/>
      <c r="N55" s="405"/>
      <c r="O55" s="405"/>
    </row>
    <row r="56" spans="1:15" x14ac:dyDescent="0.35">
      <c r="F56" s="405"/>
      <c r="G56" s="405"/>
      <c r="H56" s="405"/>
      <c r="I56" s="405"/>
      <c r="J56" s="405"/>
      <c r="K56" s="405"/>
      <c r="L56" s="405"/>
      <c r="M56" s="405"/>
      <c r="N56" s="405"/>
      <c r="O56" s="405"/>
    </row>
    <row r="57" spans="1:15" ht="15.5" x14ac:dyDescent="0.35">
      <c r="A57" s="24"/>
      <c r="B57" s="24"/>
      <c r="C57" s="68" t="s">
        <v>294</v>
      </c>
      <c r="D57" s="13"/>
      <c r="E57" s="13"/>
      <c r="F57" s="405"/>
      <c r="G57" s="405"/>
      <c r="H57" s="405"/>
      <c r="I57" s="405"/>
      <c r="J57" s="405"/>
      <c r="K57" s="405"/>
      <c r="L57" s="405"/>
      <c r="M57" s="405"/>
      <c r="N57" s="405"/>
      <c r="O57" s="405"/>
    </row>
    <row r="58" spans="1:15" x14ac:dyDescent="0.35">
      <c r="A58" s="24"/>
      <c r="B58" s="24"/>
      <c r="C58" s="30" t="str">
        <f>IF(C60="L","fsensor","L")</f>
        <v>L</v>
      </c>
      <c r="D58" s="48">
        <v>20</v>
      </c>
      <c r="E58" s="69" t="str">
        <f>IF(C58="fsensor","MHz","µH")</f>
        <v>µH</v>
      </c>
      <c r="F58" s="405"/>
      <c r="G58" s="405"/>
      <c r="H58" s="405"/>
      <c r="I58" s="405"/>
      <c r="J58" s="405"/>
      <c r="K58" s="405"/>
      <c r="L58" s="405"/>
      <c r="M58" s="405"/>
      <c r="N58" s="405"/>
      <c r="O58" s="405"/>
    </row>
    <row r="59" spans="1:15" x14ac:dyDescent="0.35">
      <c r="A59" s="24"/>
      <c r="B59" s="24"/>
      <c r="C59" s="30" t="str">
        <f>IF(C60="C","fsensor","C")</f>
        <v>C</v>
      </c>
      <c r="D59" s="48">
        <v>500</v>
      </c>
      <c r="E59" s="70" t="str">
        <f>IF(C59="fsensor","MHz","pF")</f>
        <v>pF</v>
      </c>
      <c r="F59" s="405"/>
      <c r="G59" s="405"/>
      <c r="H59" s="405"/>
      <c r="I59" s="405"/>
      <c r="J59" s="405"/>
      <c r="K59" s="405"/>
      <c r="L59" s="405"/>
      <c r="M59" s="405"/>
      <c r="N59" s="405"/>
      <c r="O59" s="405"/>
    </row>
    <row r="60" spans="1:15" x14ac:dyDescent="0.35">
      <c r="A60" s="24"/>
      <c r="B60" s="24"/>
      <c r="C60" s="47" t="s">
        <v>241</v>
      </c>
      <c r="D60" s="29">
        <f>IF(C60="fsensor",0.000001/(2*PI()*SQRT(D58*0.000001*D59*0.000000000001)),IF(C60="C",1000000000000/((D58*0.000001)*(2*PI()*D59*1000000)^2),1000000/((D59*0.000000000001)*(2*PI()*D58*1000000)^2)))</f>
        <v>1.5915494309189533</v>
      </c>
      <c r="E60" s="30" t="str">
        <f>IF(C60="fsensor","MHz",IF(C60="L","µH","pF"))</f>
        <v>MHz</v>
      </c>
      <c r="F60" s="405"/>
      <c r="G60" s="405"/>
      <c r="H60" s="405"/>
      <c r="I60" s="405"/>
      <c r="J60" s="405"/>
      <c r="K60" s="405"/>
      <c r="L60" s="405"/>
      <c r="M60" s="405"/>
      <c r="N60" s="405"/>
      <c r="O60" s="405"/>
    </row>
    <row r="61" spans="1:15" x14ac:dyDescent="0.35">
      <c r="A61" s="24"/>
      <c r="B61" s="24"/>
      <c r="F61" s="405"/>
      <c r="G61" s="405"/>
      <c r="H61" s="405"/>
      <c r="I61" s="405"/>
      <c r="J61" s="405"/>
      <c r="K61" s="405"/>
      <c r="L61" s="405"/>
      <c r="M61" s="405"/>
      <c r="N61" s="405"/>
      <c r="O61" s="405"/>
    </row>
    <row r="62" spans="1:15" x14ac:dyDescent="0.35">
      <c r="A62" s="24"/>
      <c r="B62" s="24"/>
      <c r="F62" s="405"/>
      <c r="G62" s="405"/>
      <c r="H62" s="405"/>
      <c r="I62" s="405"/>
      <c r="J62" s="405"/>
      <c r="K62" s="405"/>
      <c r="L62" s="405"/>
      <c r="M62" s="405"/>
      <c r="N62" s="405"/>
      <c r="O62" s="405"/>
    </row>
    <row r="63" spans="1:15" x14ac:dyDescent="0.35">
      <c r="A63" s="24"/>
      <c r="B63" s="24"/>
      <c r="F63" s="405"/>
      <c r="G63" s="405"/>
      <c r="H63" s="405"/>
      <c r="I63" s="405"/>
      <c r="J63" s="405"/>
      <c r="K63" s="405"/>
      <c r="L63" s="405"/>
      <c r="M63" s="405"/>
      <c r="N63" s="405"/>
      <c r="O63" s="405"/>
    </row>
    <row r="64" spans="1:15" x14ac:dyDescent="0.35">
      <c r="A64" s="24"/>
      <c r="B64" s="24"/>
      <c r="F64" s="405"/>
      <c r="G64" s="405"/>
      <c r="H64" s="405"/>
      <c r="I64" s="405"/>
      <c r="J64" s="405"/>
      <c r="K64" s="405"/>
      <c r="L64" s="405"/>
      <c r="M64" s="405"/>
      <c r="N64" s="405"/>
      <c r="O64" s="405"/>
    </row>
    <row r="65" spans="1:15" x14ac:dyDescent="0.35">
      <c r="A65" s="24"/>
      <c r="B65" s="24"/>
      <c r="F65" s="405"/>
      <c r="G65" s="405"/>
      <c r="H65" s="405"/>
      <c r="I65" s="405"/>
      <c r="J65" s="405"/>
      <c r="K65" s="405"/>
      <c r="L65" s="405"/>
      <c r="M65" s="405"/>
      <c r="N65" s="405"/>
      <c r="O65" s="405"/>
    </row>
    <row r="66" spans="1:15" x14ac:dyDescent="0.35">
      <c r="A66" s="24"/>
      <c r="B66" s="24"/>
      <c r="F66" s="405"/>
      <c r="G66" s="405"/>
      <c r="H66" s="405"/>
      <c r="I66" s="405"/>
      <c r="J66" s="405"/>
      <c r="K66" s="405"/>
      <c r="L66" s="405"/>
      <c r="M66" s="405"/>
      <c r="N66" s="405"/>
      <c r="O66" s="405"/>
    </row>
    <row r="67" spans="1:15" x14ac:dyDescent="0.35">
      <c r="A67" s="24"/>
      <c r="B67" s="24"/>
      <c r="F67" s="405"/>
      <c r="G67" s="405"/>
      <c r="H67" s="405"/>
      <c r="I67" s="405"/>
      <c r="J67" s="405"/>
      <c r="K67" s="405"/>
      <c r="L67" s="405"/>
      <c r="M67" s="405"/>
      <c r="N67" s="405"/>
      <c r="O67" s="405"/>
    </row>
    <row r="68" spans="1:15" x14ac:dyDescent="0.35">
      <c r="A68" s="24"/>
      <c r="B68" s="24"/>
      <c r="F68" s="405"/>
      <c r="G68" s="405"/>
      <c r="H68" s="405"/>
      <c r="I68" s="405"/>
      <c r="J68" s="405"/>
      <c r="K68" s="405"/>
      <c r="L68" s="405"/>
      <c r="M68" s="405"/>
      <c r="N68" s="405"/>
      <c r="O68" s="405"/>
    </row>
    <row r="69" spans="1:15" x14ac:dyDescent="0.35">
      <c r="A69" s="24"/>
      <c r="B69" s="24"/>
      <c r="F69" s="405"/>
      <c r="G69" s="405"/>
      <c r="H69" s="405"/>
      <c r="I69" s="405"/>
      <c r="J69" s="405"/>
      <c r="K69" s="405"/>
      <c r="L69" s="405"/>
      <c r="M69" s="405"/>
      <c r="N69" s="405"/>
      <c r="O69" s="405"/>
    </row>
    <row r="70" spans="1:15" x14ac:dyDescent="0.35">
      <c r="A70" s="24"/>
      <c r="B70" s="24"/>
    </row>
    <row r="71" spans="1:15" x14ac:dyDescent="0.35">
      <c r="A71" s="24"/>
      <c r="B71" s="24"/>
    </row>
    <row r="72" spans="1:15" x14ac:dyDescent="0.35">
      <c r="A72" s="24"/>
      <c r="B72" s="24"/>
    </row>
    <row r="73" spans="1:15" x14ac:dyDescent="0.35">
      <c r="A73" s="24"/>
      <c r="B73" s="24"/>
    </row>
    <row r="79" spans="1:15" hidden="1" x14ac:dyDescent="0.35">
      <c r="C79" s="137" t="s">
        <v>374</v>
      </c>
      <c r="D79" s="137" t="s">
        <v>372</v>
      </c>
      <c r="E79" s="137" t="s">
        <v>373</v>
      </c>
    </row>
    <row r="80" spans="1:15" hidden="1" x14ac:dyDescent="0.35">
      <c r="C80" s="136">
        <f>IF(D$46="LDC1101",E80,D80)</f>
        <v>96</v>
      </c>
      <c r="D80" s="136">
        <v>3926.991</v>
      </c>
      <c r="E80" s="136">
        <v>96</v>
      </c>
    </row>
    <row r="81" spans="3:5" hidden="1" x14ac:dyDescent="0.35">
      <c r="C81" s="136">
        <f t="shared" ref="C81:C111" si="0">IF(D$46="LDC1101",E81,D81)</f>
        <v>48</v>
      </c>
      <c r="D81" s="136">
        <v>3141.5929999999998</v>
      </c>
      <c r="E81" s="136">
        <v>48</v>
      </c>
    </row>
    <row r="82" spans="3:5" hidden="1" x14ac:dyDescent="0.35">
      <c r="C82" s="136">
        <f t="shared" si="0"/>
        <v>24</v>
      </c>
      <c r="D82" s="136">
        <v>2243.9949999999999</v>
      </c>
      <c r="E82" s="136">
        <v>24</v>
      </c>
    </row>
    <row r="83" spans="3:5" hidden="1" x14ac:dyDescent="0.35">
      <c r="C83" s="136">
        <f t="shared" si="0"/>
        <v>12</v>
      </c>
      <c r="D83" s="136">
        <v>1745.329</v>
      </c>
      <c r="E83" s="136">
        <v>12</v>
      </c>
    </row>
    <row r="84" spans="3:5" hidden="1" x14ac:dyDescent="0.35">
      <c r="C84" s="136">
        <f t="shared" si="0"/>
        <v>6</v>
      </c>
      <c r="D84" s="136">
        <v>1308.9970000000001</v>
      </c>
      <c r="E84" s="136">
        <v>6</v>
      </c>
    </row>
    <row r="85" spans="3:5" hidden="1" x14ac:dyDescent="0.35">
      <c r="C85" s="136">
        <f t="shared" si="0"/>
        <v>3</v>
      </c>
      <c r="D85" s="136">
        <v>981.74800000000005</v>
      </c>
      <c r="E85" s="136">
        <v>3</v>
      </c>
    </row>
    <row r="86" spans="3:5" hidden="1" x14ac:dyDescent="0.35">
      <c r="C86" s="136">
        <f t="shared" si="0"/>
        <v>1.5</v>
      </c>
      <c r="D86" s="136">
        <v>747.99800000000005</v>
      </c>
      <c r="E86" s="136">
        <v>1.5</v>
      </c>
    </row>
    <row r="87" spans="3:5" hidden="1" x14ac:dyDescent="0.35">
      <c r="C87" s="136">
        <f t="shared" si="0"/>
        <v>0.75</v>
      </c>
      <c r="D87" s="136">
        <v>581.77599999999995</v>
      </c>
      <c r="E87" s="136">
        <v>0.75</v>
      </c>
    </row>
    <row r="88" spans="3:5" hidden="1" x14ac:dyDescent="0.35">
      <c r="C88" s="136">
        <f t="shared" si="0"/>
        <v>0</v>
      </c>
      <c r="D88" s="136">
        <v>436.33199999999999</v>
      </c>
      <c r="E88" s="136"/>
    </row>
    <row r="89" spans="3:5" hidden="1" x14ac:dyDescent="0.35">
      <c r="C89" s="136">
        <f t="shared" si="0"/>
        <v>0</v>
      </c>
      <c r="D89" s="136">
        <v>349.06599999999997</v>
      </c>
      <c r="E89" s="136"/>
    </row>
    <row r="90" spans="3:5" hidden="1" x14ac:dyDescent="0.35">
      <c r="C90" s="136">
        <f t="shared" si="0"/>
        <v>0</v>
      </c>
      <c r="D90" s="136">
        <v>249.333</v>
      </c>
      <c r="E90" s="136"/>
    </row>
    <row r="91" spans="3:5" hidden="1" x14ac:dyDescent="0.35">
      <c r="C91" s="136">
        <f t="shared" si="0"/>
        <v>0</v>
      </c>
      <c r="D91" s="136">
        <v>193.92599999999999</v>
      </c>
      <c r="E91" s="136"/>
    </row>
    <row r="92" spans="3:5" hidden="1" x14ac:dyDescent="0.35">
      <c r="C92" s="136">
        <f t="shared" si="0"/>
        <v>0</v>
      </c>
      <c r="D92" s="136">
        <v>145.44399999999999</v>
      </c>
      <c r="E92" s="136"/>
    </row>
    <row r="93" spans="3:5" hidden="1" x14ac:dyDescent="0.35">
      <c r="C93" s="136">
        <f t="shared" si="0"/>
        <v>0</v>
      </c>
      <c r="D93" s="136">
        <v>109.083</v>
      </c>
      <c r="E93" s="136"/>
    </row>
    <row r="94" spans="3:5" hidden="1" x14ac:dyDescent="0.35">
      <c r="C94" s="136">
        <f t="shared" si="0"/>
        <v>0</v>
      </c>
      <c r="D94" s="136">
        <v>83.111000000000004</v>
      </c>
      <c r="E94" s="136"/>
    </row>
    <row r="95" spans="3:5" hidden="1" x14ac:dyDescent="0.35">
      <c r="C95" s="136">
        <f t="shared" si="0"/>
        <v>0</v>
      </c>
      <c r="D95" s="136">
        <v>64.641999999999996</v>
      </c>
      <c r="E95" s="136"/>
    </row>
    <row r="96" spans="3:5" hidden="1" x14ac:dyDescent="0.35">
      <c r="C96" s="136">
        <f t="shared" si="0"/>
        <v>0</v>
      </c>
      <c r="D96" s="136">
        <v>48.481000000000002</v>
      </c>
      <c r="E96" s="136"/>
    </row>
    <row r="97" spans="3:5" hidden="1" x14ac:dyDescent="0.35">
      <c r="C97" s="136">
        <f t="shared" si="0"/>
        <v>0</v>
      </c>
      <c r="D97" s="136">
        <v>38.784999999999997</v>
      </c>
      <c r="E97" s="136"/>
    </row>
    <row r="98" spans="3:5" hidden="1" x14ac:dyDescent="0.35">
      <c r="C98" s="136">
        <f t="shared" si="0"/>
        <v>0</v>
      </c>
      <c r="D98" s="136">
        <v>27.704000000000001</v>
      </c>
      <c r="E98" s="136"/>
    </row>
    <row r="99" spans="3:5" hidden="1" x14ac:dyDescent="0.35">
      <c r="C99" s="136">
        <f t="shared" si="0"/>
        <v>0</v>
      </c>
      <c r="D99" s="136">
        <v>21.547000000000001</v>
      </c>
      <c r="E99" s="136"/>
    </row>
    <row r="100" spans="3:5" hidden="1" x14ac:dyDescent="0.35">
      <c r="C100" s="136">
        <f t="shared" si="0"/>
        <v>0</v>
      </c>
      <c r="D100" s="136">
        <v>16.16</v>
      </c>
      <c r="E100" s="136"/>
    </row>
    <row r="101" spans="3:5" hidden="1" x14ac:dyDescent="0.35">
      <c r="C101" s="136">
        <f t="shared" si="0"/>
        <v>0</v>
      </c>
      <c r="D101" s="136">
        <v>12.12</v>
      </c>
      <c r="E101" s="136"/>
    </row>
    <row r="102" spans="3:5" hidden="1" x14ac:dyDescent="0.35">
      <c r="C102" s="136">
        <f t="shared" si="0"/>
        <v>0</v>
      </c>
      <c r="D102" s="136">
        <v>9.2349999999999994</v>
      </c>
      <c r="E102" s="136"/>
    </row>
    <row r="103" spans="3:5" hidden="1" x14ac:dyDescent="0.35">
      <c r="C103" s="136">
        <f t="shared" si="0"/>
        <v>0</v>
      </c>
      <c r="D103" s="136">
        <v>7.1820000000000004</v>
      </c>
      <c r="E103" s="136"/>
    </row>
    <row r="104" spans="3:5" hidden="1" x14ac:dyDescent="0.35">
      <c r="C104" s="136">
        <f t="shared" si="0"/>
        <v>0</v>
      </c>
      <c r="D104" s="136">
        <v>5.3869999999999996</v>
      </c>
      <c r="E104" s="136"/>
    </row>
    <row r="105" spans="3:5" hidden="1" x14ac:dyDescent="0.35">
      <c r="C105" s="136">
        <f t="shared" si="0"/>
        <v>0</v>
      </c>
      <c r="D105" s="136">
        <v>4.3090000000000002</v>
      </c>
      <c r="E105" s="136"/>
    </row>
    <row r="106" spans="3:5" hidden="1" x14ac:dyDescent="0.35">
      <c r="C106" s="136">
        <f t="shared" si="0"/>
        <v>0</v>
      </c>
      <c r="D106" s="136">
        <v>3.0779999999999998</v>
      </c>
      <c r="E106" s="136"/>
    </row>
    <row r="107" spans="3:5" hidden="1" x14ac:dyDescent="0.35">
      <c r="C107" s="136">
        <f t="shared" si="0"/>
        <v>0</v>
      </c>
      <c r="D107" s="136">
        <v>2.3940000000000001</v>
      </c>
      <c r="E107" s="136"/>
    </row>
    <row r="108" spans="3:5" hidden="1" x14ac:dyDescent="0.35">
      <c r="C108" s="136">
        <f t="shared" si="0"/>
        <v>0</v>
      </c>
      <c r="D108" s="136">
        <v>1.796</v>
      </c>
      <c r="E108" s="136"/>
    </row>
    <row r="109" spans="3:5" hidden="1" x14ac:dyDescent="0.35">
      <c r="C109" s="136">
        <f t="shared" si="0"/>
        <v>0</v>
      </c>
      <c r="D109" s="136">
        <v>1.347</v>
      </c>
      <c r="E109" s="136"/>
    </row>
    <row r="110" spans="3:5" hidden="1" x14ac:dyDescent="0.35">
      <c r="C110" s="136">
        <f t="shared" si="0"/>
        <v>0</v>
      </c>
      <c r="D110" s="136">
        <v>1.026</v>
      </c>
      <c r="E110" s="136"/>
    </row>
    <row r="111" spans="3:5" hidden="1" x14ac:dyDescent="0.35">
      <c r="C111" s="136">
        <f t="shared" si="0"/>
        <v>0</v>
      </c>
      <c r="D111" s="136">
        <v>0.79800000000000004</v>
      </c>
      <c r="E111" s="136"/>
    </row>
  </sheetData>
  <sheetProtection sheet="1" objects="1" scenarios="1"/>
  <conditionalFormatting sqref="D12">
    <cfRule type="expression" dxfId="9" priority="5">
      <formula>$D$9&lt;&gt;"LDC131x"</formula>
    </cfRule>
  </conditionalFormatting>
  <conditionalFormatting sqref="D18">
    <cfRule type="cellIs" dxfId="8" priority="2" operator="greaterThan">
      <formula>42</formula>
    </cfRule>
    <cfRule type="cellIs" dxfId="7" priority="4" operator="greaterThan">
      <formula>40</formula>
    </cfRule>
  </conditionalFormatting>
  <conditionalFormatting sqref="D36">
    <cfRule type="cellIs" dxfId="6" priority="3" operator="greaterThan">
      <formula>8</formula>
    </cfRule>
  </conditionalFormatting>
  <dataValidations count="21">
    <dataValidation type="list" allowBlank="1" showInputMessage="1" showErrorMessage="1" sqref="D32">
      <formula1>"192,384,768,1536,3072,6144"</formula1>
    </dataValidation>
    <dataValidation type="decimal" errorStyle="warning" allowBlank="1" showInputMessage="1" showErrorMessage="1" errorTitle="Frequency too High" error="Entered frequency exceeds maximum specified Reference freuqency." sqref="D36">
      <formula1>1</formula1>
      <formula2>D35</formula2>
    </dataValidation>
    <dataValidation type="decimal" errorStyle="information" operator="greaterThan" allowBlank="1" showInputMessage="1" showErrorMessage="1" errorTitle="Low Sensor Capacitance" error="Sensor capacitances which are too low are not recommended, as parasitic effects may influence the measurement." sqref="D10 D39">
      <formula1>80</formula1>
    </dataValidation>
    <dataValidation type="decimal" errorStyle="warning" operator="lessThanOrEqual" allowBlank="1" showInputMessage="1" showErrorMessage="1" errorTitle="Frequency too High" error="This exceeds the maximum CLKIN frequency." sqref="D18">
      <formula1>D17</formula1>
    </dataValidation>
    <dataValidation type="list" allowBlank="1" showInputMessage="1" showErrorMessage="1" sqref="D9">
      <formula1>"LDC131x,LDC161x,LDC1101"</formula1>
    </dataValidation>
    <dataValidation type="decimal" allowBlank="1" showInputMessage="1" showErrorMessage="1" errorTitle="Invalid setting" error="The Offset register programmed value can only be between 0 and 65535." sqref="D15 D17">
      <formula1>0</formula1>
      <formula2>65535</formula2>
    </dataValidation>
    <dataValidation type="decimal" errorStyle="warning" allowBlank="1" showInputMessage="1" showErrorMessage="1" errorTitle="Frequency too High" error="The Multichannel LDC devices have a maximum CLKIN divider 1023." sqref="D19">
      <formula1>1</formula1>
      <formula2>1023</formula2>
    </dataValidation>
    <dataValidation type="list" errorStyle="warning" operator="lessThanOrEqual" allowBlank="1" showInputMessage="1" showErrorMessage="1" errorTitle="Frequency too High" error="The Multichannel LDC devices have a FIN divider between 1 and 15." sqref="D20">
      <formula1>"1,2,3,4,5,6,7,8,9,10,11,12,13,14,15"</formula1>
    </dataValidation>
    <dataValidation type="list" allowBlank="1" showInputMessage="1" showErrorMessage="1" errorTitle="Incorrect Gain Setting" sqref="D12">
      <formula1>"0,2,3,4"</formula1>
    </dataValidation>
    <dataValidation allowBlank="1" showInputMessage="1" showErrorMessage="1" errorTitle="Invalid Output Code" error="The output code must be between 0 and the full-scale output code." sqref="D13"/>
    <dataValidation type="list" allowBlank="1" showInputMessage="1" showErrorMessage="1" sqref="D31">
      <formula1>"LDC1000/10x1,LDC1101"</formula1>
    </dataValidation>
    <dataValidation type="whole" allowBlank="1" showInputMessage="1" showErrorMessage="1" sqref="D33:D35 D37 D16">
      <formula1>0</formula1>
      <formula2>20000000</formula2>
    </dataValidation>
    <dataValidation type="list" allowBlank="1" showInputMessage="1" showErrorMessage="1" sqref="D46">
      <formula1>"LDC1000,LDC1041/1051,LDC1101"</formula1>
    </dataValidation>
    <dataValidation type="list" allowBlank="1" showInputMessage="1" showErrorMessage="1" sqref="D47:D48">
      <formula1>$C$80:$C$111</formula1>
    </dataValidation>
    <dataValidation type="whole" errorStyle="warning" allowBlank="1" showInputMessage="1" showErrorMessage="1" errorTitle="Invalid Output Code" error="The output code entered exceeds the maximum output code for the device." sqref="D51">
      <formula1>0</formula1>
      <formula2>#REF!</formula2>
    </dataValidation>
    <dataValidation type="list" allowBlank="1" showInputMessage="1" showErrorMessage="1" sqref="E50">
      <formula1>"Hex,Decimal"</formula1>
    </dataValidation>
    <dataValidation errorStyle="warning" allowBlank="1" showInputMessage="1" showErrorMessage="1" errorTitle="Invalid Output Code" error="The output code entered exceeds the maximum output code for the device." sqref="D50"/>
    <dataValidation type="decimal" errorStyle="warning" allowBlank="1" showInputMessage="1" showErrorMessage="1" errorTitle="Extreme Value" error="Please verify the value is correct, note the units are μH, pF, and MHz." sqref="D58:D59">
      <formula1>0.001</formula1>
      <formula2>1000000</formula2>
    </dataValidation>
    <dataValidation type="list" allowBlank="1" showInputMessage="1" showErrorMessage="1" sqref="C60">
      <formula1>"fsensor,L,C"</formula1>
    </dataValidation>
    <dataValidation type="list" allowBlank="1" showInputMessage="1" showErrorMessage="1" sqref="E33 E13 E15">
      <formula1>"Hex,decimal"</formula1>
    </dataValidation>
    <dataValidation type="decimal" allowBlank="1" showInputMessage="1" showErrorMessage="1" sqref="D14">
      <formula1>0</formula1>
      <formula2>D11</formula2>
    </dataValidation>
  </dataValidations>
  <hyperlinks>
    <hyperlink ref="F2" location="Contents!A1" display="Return to Main Page"/>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59999389629810485"/>
  </sheetPr>
  <dimension ref="B2:I127"/>
  <sheetViews>
    <sheetView showGridLines="0" showRowColHeaders="0" workbookViewId="0">
      <selection activeCell="I28" sqref="I28"/>
    </sheetView>
  </sheetViews>
  <sheetFormatPr defaultRowHeight="14.5" x14ac:dyDescent="0.35"/>
  <cols>
    <col min="1" max="1" width="4.453125" customWidth="1"/>
    <col min="2" max="2" width="3.453125" customWidth="1"/>
    <col min="3" max="3" width="21.54296875" customWidth="1"/>
    <col min="4" max="4" width="20.26953125" customWidth="1"/>
    <col min="5" max="5" width="8.54296875" customWidth="1"/>
    <col min="6" max="6" width="11.81640625" customWidth="1"/>
    <col min="9" max="9" width="11.54296875" customWidth="1"/>
  </cols>
  <sheetData>
    <row r="2" spans="2:7" ht="18.5" x14ac:dyDescent="0.45">
      <c r="B2" s="4" t="s">
        <v>116</v>
      </c>
      <c r="G2" s="21" t="s">
        <v>211</v>
      </c>
    </row>
    <row r="3" spans="2:7" ht="18.5" x14ac:dyDescent="0.45">
      <c r="B3" s="4"/>
      <c r="G3" s="21"/>
    </row>
    <row r="4" spans="2:7" x14ac:dyDescent="0.35">
      <c r="C4" s="7" t="s">
        <v>181</v>
      </c>
    </row>
    <row r="5" spans="2:7" x14ac:dyDescent="0.35">
      <c r="C5" s="7" t="s">
        <v>182</v>
      </c>
    </row>
    <row r="6" spans="2:7" x14ac:dyDescent="0.35">
      <c r="C6" s="7" t="s">
        <v>296</v>
      </c>
    </row>
    <row r="7" spans="2:7" x14ac:dyDescent="0.35">
      <c r="C7" s="7" t="s">
        <v>295</v>
      </c>
    </row>
    <row r="8" spans="2:7" x14ac:dyDescent="0.35">
      <c r="C8" s="7" t="s">
        <v>317</v>
      </c>
    </row>
    <row r="9" spans="2:7" x14ac:dyDescent="0.35">
      <c r="C9" s="7"/>
    </row>
    <row r="10" spans="2:7" x14ac:dyDescent="0.35">
      <c r="C10" t="s">
        <v>177</v>
      </c>
      <c r="D10" s="55" t="s">
        <v>135</v>
      </c>
    </row>
    <row r="11" spans="2:7" hidden="1" x14ac:dyDescent="0.35">
      <c r="C11" t="s">
        <v>119</v>
      </c>
      <c r="D11" s="56">
        <f>INDEX(F107:F127,MATCH(D10,C107:C127))</f>
        <v>2.65</v>
      </c>
      <c r="E11" s="25" t="s">
        <v>120</v>
      </c>
    </row>
    <row r="12" spans="2:7" x14ac:dyDescent="0.35">
      <c r="C12" t="s">
        <v>119</v>
      </c>
      <c r="D12" s="112">
        <f>D11/1000000/100</f>
        <v>2.6499999999999999E-8</v>
      </c>
      <c r="E12" s="111" t="s">
        <v>121</v>
      </c>
    </row>
    <row r="13" spans="2:7" x14ac:dyDescent="0.35">
      <c r="C13" t="s">
        <v>122</v>
      </c>
      <c r="D13" s="57">
        <f>IF(D10="Nickel",100,1)</f>
        <v>1</v>
      </c>
      <c r="E13" s="9"/>
    </row>
    <row r="14" spans="2:7" x14ac:dyDescent="0.35">
      <c r="C14" t="s">
        <v>2</v>
      </c>
      <c r="D14" s="48">
        <v>1</v>
      </c>
      <c r="E14" s="9" t="s">
        <v>0</v>
      </c>
    </row>
    <row r="15" spans="2:7" hidden="1" x14ac:dyDescent="0.35">
      <c r="D15" s="81">
        <f>D14*1000000</f>
        <v>1000000</v>
      </c>
      <c r="E15" s="26" t="s">
        <v>1</v>
      </c>
    </row>
    <row r="16" spans="2:7" hidden="1" x14ac:dyDescent="0.35">
      <c r="C16" s="19" t="s">
        <v>123</v>
      </c>
      <c r="D16" s="81">
        <f>4*PI()*0.0000001</f>
        <v>1.2566370614359173E-6</v>
      </c>
      <c r="E16" s="26" t="s">
        <v>124</v>
      </c>
    </row>
    <row r="17" spans="3:8" hidden="1" x14ac:dyDescent="0.35">
      <c r="C17" s="19" t="s">
        <v>125</v>
      </c>
      <c r="D17" s="81">
        <f>SQRT((2*D12)/(2*PI()*D16*D13*D15))</f>
        <v>8.1930021459199431E-5</v>
      </c>
      <c r="E17" s="26" t="s">
        <v>126</v>
      </c>
    </row>
    <row r="18" spans="3:8" x14ac:dyDescent="0.35">
      <c r="C18" t="s">
        <v>125</v>
      </c>
      <c r="D18" s="39">
        <f>D17*1000000</f>
        <v>81.930021459199438</v>
      </c>
      <c r="E18" s="25" t="s">
        <v>127</v>
      </c>
    </row>
    <row r="19" spans="3:8" x14ac:dyDescent="0.35">
      <c r="C19" t="s">
        <v>128</v>
      </c>
      <c r="D19" s="184">
        <v>0.8</v>
      </c>
      <c r="E19" s="324" t="s">
        <v>34</v>
      </c>
    </row>
    <row r="20" spans="3:8" ht="14.25" hidden="1" customHeight="1" x14ac:dyDescent="0.35">
      <c r="D20" s="82">
        <f>IF(E19="mm",D19*0.001,IF(E19="um",D19*0.000001,D19*0.0000254))</f>
        <v>8.0000000000000004E-4</v>
      </c>
      <c r="E20" s="40" t="s">
        <v>129</v>
      </c>
      <c r="G20" s="16"/>
    </row>
    <row r="21" spans="3:8" x14ac:dyDescent="0.35">
      <c r="C21" t="s">
        <v>171</v>
      </c>
      <c r="D21" s="37">
        <f>D20/D17</f>
        <v>9.7644304950950662</v>
      </c>
      <c r="E21" s="9" t="s">
        <v>131</v>
      </c>
    </row>
    <row r="22" spans="3:8" x14ac:dyDescent="0.35">
      <c r="C22" t="s">
        <v>130</v>
      </c>
      <c r="D22" s="29">
        <f>100*(1-EXP(-1*D21))</f>
        <v>99.994254051660221</v>
      </c>
      <c r="E22" s="9" t="s">
        <v>176</v>
      </c>
    </row>
    <row r="23" spans="3:8" ht="15.5" x14ac:dyDescent="0.35">
      <c r="E23" s="9"/>
      <c r="H23" s="28" t="s">
        <v>178</v>
      </c>
    </row>
    <row r="24" spans="3:8" x14ac:dyDescent="0.35">
      <c r="E24" s="9"/>
    </row>
    <row r="25" spans="3:8" ht="15.5" x14ac:dyDescent="0.35">
      <c r="C25" s="68" t="s">
        <v>213</v>
      </c>
      <c r="D25" s="13"/>
      <c r="E25" s="13"/>
    </row>
    <row r="26" spans="3:8" x14ac:dyDescent="0.35">
      <c r="C26" s="30" t="str">
        <f>IF(C28="L","fsensor","L")</f>
        <v>L</v>
      </c>
      <c r="D26" s="48">
        <v>20</v>
      </c>
      <c r="E26" s="69" t="str">
        <f>IF(C26="fsensor","MHz","µH")</f>
        <v>µH</v>
      </c>
    </row>
    <row r="27" spans="3:8" x14ac:dyDescent="0.35">
      <c r="C27" s="30" t="str">
        <f>IF(C28="C","fsensor","C")</f>
        <v>C</v>
      </c>
      <c r="D27" s="48">
        <v>100</v>
      </c>
      <c r="E27" s="70" t="str">
        <f>IF(C27="fsensor","MHz","pF")</f>
        <v>pF</v>
      </c>
    </row>
    <row r="28" spans="3:8" x14ac:dyDescent="0.35">
      <c r="C28" s="47" t="s">
        <v>241</v>
      </c>
      <c r="D28" s="29">
        <f>IF(C28="fsensor",0.000001/(2*PI()*SQRT(D26*0.000001*D27*0.000000000001)),IF(C28="C",1000000000000/((D26*0.000001)*(2*PI()*D27*1000000)^2),1000000/((D27*0.000000000001)*(2*PI()*D26*1000000)^2)))</f>
        <v>3.558812717085885</v>
      </c>
      <c r="E28" s="30" t="str">
        <f>IF(C28="fsensor","MHz",IF(C28="L","µH","pF"))</f>
        <v>MHz</v>
      </c>
    </row>
    <row r="104" spans="3:9" ht="15.5" x14ac:dyDescent="0.35">
      <c r="C104" s="28" t="s">
        <v>132</v>
      </c>
    </row>
    <row r="105" spans="3:9" ht="39" x14ac:dyDescent="0.35">
      <c r="E105" s="75" t="s">
        <v>276</v>
      </c>
      <c r="F105" s="75" t="s">
        <v>133</v>
      </c>
      <c r="G105" s="75" t="s">
        <v>114</v>
      </c>
      <c r="H105" s="75" t="s">
        <v>114</v>
      </c>
      <c r="I105" s="75" t="s">
        <v>272</v>
      </c>
    </row>
    <row r="106" spans="3:9" ht="16.5" x14ac:dyDescent="0.35">
      <c r="C106" s="71" t="s">
        <v>117</v>
      </c>
      <c r="D106" s="71" t="s">
        <v>277</v>
      </c>
      <c r="E106" s="72" t="s">
        <v>275</v>
      </c>
      <c r="F106" s="73" t="s">
        <v>120</v>
      </c>
      <c r="G106" s="72" t="s">
        <v>134</v>
      </c>
      <c r="H106" s="72" t="s">
        <v>115</v>
      </c>
      <c r="I106" s="72" t="s">
        <v>408</v>
      </c>
    </row>
    <row r="107" spans="3:9" x14ac:dyDescent="0.35">
      <c r="C107" s="74" t="s">
        <v>135</v>
      </c>
      <c r="D107" s="74" t="s">
        <v>136</v>
      </c>
      <c r="E107" s="74">
        <v>4200</v>
      </c>
      <c r="F107" s="74">
        <v>2.65</v>
      </c>
      <c r="G107" s="74">
        <v>660</v>
      </c>
      <c r="H107" s="74">
        <v>1221</v>
      </c>
      <c r="I107" s="74">
        <v>1</v>
      </c>
    </row>
    <row r="108" spans="3:9" x14ac:dyDescent="0.35">
      <c r="C108" s="74" t="s">
        <v>137</v>
      </c>
      <c r="D108" s="74" t="s">
        <v>26</v>
      </c>
      <c r="E108" s="74">
        <v>-500</v>
      </c>
      <c r="F108" s="74">
        <v>3000</v>
      </c>
      <c r="G108" s="74"/>
      <c r="H108" s="74"/>
      <c r="I108" s="30">
        <v>1</v>
      </c>
    </row>
    <row r="109" spans="3:9" x14ac:dyDescent="0.35">
      <c r="C109" s="74" t="s">
        <v>138</v>
      </c>
      <c r="D109" s="74" t="s">
        <v>139</v>
      </c>
      <c r="E109" s="74">
        <v>5900</v>
      </c>
      <c r="F109" s="74">
        <v>18</v>
      </c>
      <c r="G109" s="74">
        <v>1857</v>
      </c>
      <c r="H109" s="74">
        <v>3374.6</v>
      </c>
      <c r="I109" s="74">
        <v>1</v>
      </c>
    </row>
    <row r="110" spans="3:9" x14ac:dyDescent="0.35">
      <c r="C110" s="74" t="s">
        <v>118</v>
      </c>
      <c r="D110" s="74" t="s">
        <v>140</v>
      </c>
      <c r="E110" s="74">
        <v>4300</v>
      </c>
      <c r="F110" s="74">
        <v>1.673</v>
      </c>
      <c r="G110" s="74">
        <v>1083</v>
      </c>
      <c r="H110" s="74">
        <v>1981.4</v>
      </c>
      <c r="I110" s="74">
        <v>1</v>
      </c>
    </row>
    <row r="111" spans="3:9" x14ac:dyDescent="0.35">
      <c r="C111" s="74" t="s">
        <v>141</v>
      </c>
      <c r="D111" s="74" t="s">
        <v>142</v>
      </c>
      <c r="E111" s="74">
        <v>4000</v>
      </c>
      <c r="F111" s="74">
        <v>2.44</v>
      </c>
      <c r="G111" s="74">
        <v>1064</v>
      </c>
      <c r="H111" s="74">
        <v>1947.2</v>
      </c>
      <c r="I111" s="74">
        <v>1</v>
      </c>
    </row>
    <row r="112" spans="3:9" x14ac:dyDescent="0.35">
      <c r="C112" s="74" t="s">
        <v>143</v>
      </c>
      <c r="D112" s="74" t="s">
        <v>144</v>
      </c>
      <c r="E112" s="74">
        <v>6500</v>
      </c>
      <c r="F112" s="74">
        <v>9.66</v>
      </c>
      <c r="G112" s="74">
        <v>1535</v>
      </c>
      <c r="H112" s="74">
        <v>2795</v>
      </c>
      <c r="I112" s="74">
        <v>5000</v>
      </c>
    </row>
    <row r="113" spans="3:9" x14ac:dyDescent="0.35">
      <c r="C113" s="74" t="s">
        <v>145</v>
      </c>
      <c r="D113" s="74" t="s">
        <v>146</v>
      </c>
      <c r="E113" s="74">
        <v>4200</v>
      </c>
      <c r="F113" s="74">
        <v>20.65</v>
      </c>
      <c r="G113" s="74">
        <v>328</v>
      </c>
      <c r="H113" s="74">
        <v>622.4</v>
      </c>
      <c r="I113" s="74">
        <v>1</v>
      </c>
    </row>
    <row r="114" spans="3:9" x14ac:dyDescent="0.35">
      <c r="C114" s="74" t="s">
        <v>147</v>
      </c>
      <c r="D114" s="74" t="s">
        <v>148</v>
      </c>
      <c r="E114" s="74"/>
      <c r="F114" s="74">
        <v>4.2</v>
      </c>
      <c r="G114" s="74"/>
      <c r="H114" s="74"/>
      <c r="I114" s="74">
        <v>1</v>
      </c>
    </row>
    <row r="115" spans="3:9" x14ac:dyDescent="0.35">
      <c r="C115" s="74" t="s">
        <v>149</v>
      </c>
      <c r="D115" s="74" t="s">
        <v>150</v>
      </c>
      <c r="E115" s="74">
        <v>6800</v>
      </c>
      <c r="F115" s="74">
        <v>8.7070000000000007</v>
      </c>
      <c r="G115" s="74">
        <v>1453</v>
      </c>
      <c r="H115" s="74">
        <v>2647.4</v>
      </c>
      <c r="I115" s="74">
        <v>100</v>
      </c>
    </row>
    <row r="116" spans="3:9" x14ac:dyDescent="0.35">
      <c r="C116" s="74" t="s">
        <v>151</v>
      </c>
      <c r="D116" s="74" t="s">
        <v>152</v>
      </c>
      <c r="E116" s="74" t="s">
        <v>153</v>
      </c>
      <c r="F116" s="74">
        <v>110</v>
      </c>
      <c r="G116" s="74"/>
      <c r="H116" s="74"/>
      <c r="I116" s="74">
        <v>1</v>
      </c>
    </row>
    <row r="117" spans="3:9" x14ac:dyDescent="0.35">
      <c r="C117" s="74" t="s">
        <v>154</v>
      </c>
      <c r="D117" s="74" t="s">
        <v>155</v>
      </c>
      <c r="E117" s="74">
        <v>4100</v>
      </c>
      <c r="F117" s="74">
        <v>1.59</v>
      </c>
      <c r="G117" s="74">
        <v>962</v>
      </c>
      <c r="H117" s="74">
        <v>1763.6</v>
      </c>
      <c r="I117" s="74">
        <v>1</v>
      </c>
    </row>
    <row r="118" spans="3:9" x14ac:dyDescent="0.35">
      <c r="C118" s="74" t="s">
        <v>407</v>
      </c>
      <c r="D118" s="74" t="s">
        <v>409</v>
      </c>
      <c r="E118" s="74">
        <v>8010</v>
      </c>
      <c r="F118" s="74">
        <v>74</v>
      </c>
      <c r="G118" s="74">
        <v>1371</v>
      </c>
      <c r="H118" s="74"/>
      <c r="I118" s="74">
        <v>1.0029999999999999</v>
      </c>
    </row>
    <row r="119" spans="3:9" x14ac:dyDescent="0.35">
      <c r="C119" s="74" t="s">
        <v>415</v>
      </c>
      <c r="D119" s="74"/>
      <c r="E119" s="74"/>
      <c r="F119" s="74">
        <v>23.68</v>
      </c>
      <c r="G119" s="74"/>
      <c r="H119" s="74"/>
      <c r="I119" s="74">
        <v>409</v>
      </c>
    </row>
    <row r="120" spans="3:9" x14ac:dyDescent="0.35">
      <c r="C120" s="74" t="s">
        <v>416</v>
      </c>
      <c r="D120" s="74"/>
      <c r="E120" s="74"/>
      <c r="F120" s="74">
        <v>17.239999999999998</v>
      </c>
      <c r="G120" s="74"/>
      <c r="H120" s="74"/>
      <c r="I120" s="74">
        <v>1404</v>
      </c>
    </row>
    <row r="121" spans="3:9" x14ac:dyDescent="0.35">
      <c r="C121" s="74" t="s">
        <v>156</v>
      </c>
      <c r="D121" s="74" t="s">
        <v>157</v>
      </c>
      <c r="E121" s="74"/>
      <c r="F121" s="74">
        <v>15.52</v>
      </c>
      <c r="G121" s="74">
        <v>2996</v>
      </c>
      <c r="H121" s="74">
        <v>5424.8</v>
      </c>
      <c r="I121" s="74">
        <v>1</v>
      </c>
    </row>
    <row r="122" spans="3:9" x14ac:dyDescent="0.35">
      <c r="C122" s="74" t="s">
        <v>158</v>
      </c>
      <c r="D122" s="74" t="s">
        <v>159</v>
      </c>
      <c r="E122" s="74">
        <v>-100</v>
      </c>
      <c r="F122" s="74">
        <v>252</v>
      </c>
      <c r="G122" s="74"/>
      <c r="H122" s="74"/>
      <c r="I122" s="74">
        <v>1</v>
      </c>
    </row>
    <row r="123" spans="3:9" x14ac:dyDescent="0.35">
      <c r="C123" s="74" t="s">
        <v>160</v>
      </c>
      <c r="D123" s="74" t="s">
        <v>161</v>
      </c>
      <c r="E123" s="74">
        <v>4600</v>
      </c>
      <c r="F123" s="74">
        <v>11.55</v>
      </c>
      <c r="G123" s="74">
        <v>232</v>
      </c>
      <c r="H123" s="74">
        <v>449.6</v>
      </c>
      <c r="I123" s="74">
        <v>1</v>
      </c>
    </row>
    <row r="124" spans="3:9" x14ac:dyDescent="0.35">
      <c r="C124" s="74" t="s">
        <v>162</v>
      </c>
      <c r="D124" s="74" t="s">
        <v>163</v>
      </c>
      <c r="E124" s="74"/>
      <c r="F124" s="74">
        <v>55</v>
      </c>
      <c r="G124" s="74">
        <v>1660</v>
      </c>
      <c r="H124" s="74">
        <v>3020</v>
      </c>
      <c r="I124" s="74">
        <v>1</v>
      </c>
    </row>
    <row r="125" spans="3:9" x14ac:dyDescent="0.35">
      <c r="C125" s="74" t="s">
        <v>164</v>
      </c>
      <c r="D125" s="74" t="s">
        <v>165</v>
      </c>
      <c r="E125" s="74">
        <v>4800</v>
      </c>
      <c r="F125" s="74">
        <v>5.6</v>
      </c>
      <c r="G125" s="74">
        <v>3422</v>
      </c>
      <c r="H125" s="74">
        <v>6192</v>
      </c>
      <c r="I125" s="74">
        <v>1</v>
      </c>
    </row>
    <row r="126" spans="3:9" x14ac:dyDescent="0.35">
      <c r="C126" s="74" t="s">
        <v>166</v>
      </c>
      <c r="D126" s="74" t="s">
        <v>167</v>
      </c>
      <c r="E126" s="74">
        <v>4200</v>
      </c>
      <c r="F126" s="74">
        <v>5.68</v>
      </c>
      <c r="G126" s="74">
        <v>420</v>
      </c>
      <c r="H126" s="74">
        <v>788</v>
      </c>
      <c r="I126" s="74">
        <v>1</v>
      </c>
    </row>
    <row r="127" spans="3:9" x14ac:dyDescent="0.35">
      <c r="C127" s="74" t="s">
        <v>168</v>
      </c>
      <c r="D127" s="74" t="s">
        <v>169</v>
      </c>
      <c r="E127" s="74"/>
      <c r="F127" s="74">
        <v>4.0999999999999996</v>
      </c>
      <c r="G127" s="74">
        <v>1852</v>
      </c>
      <c r="H127" s="74">
        <v>3365.6</v>
      </c>
      <c r="I127" s="74">
        <v>1</v>
      </c>
    </row>
  </sheetData>
  <sheetProtection sheet="1" objects="1" scenarios="1"/>
  <dataValidations count="4">
    <dataValidation type="list" allowBlank="1" showInputMessage="1" showErrorMessage="1" sqref="E19">
      <formula1>"mm,um,mil"</formula1>
    </dataValidation>
    <dataValidation type="list" allowBlank="1" showInputMessage="1" showErrorMessage="1" sqref="D10">
      <formula1>$C$107:$C$127</formula1>
    </dataValidation>
    <dataValidation type="list" allowBlank="1" showInputMessage="1" showErrorMessage="1" sqref="C28">
      <formula1>"fsensor,L,C"</formula1>
    </dataValidation>
    <dataValidation type="decimal" operator="greaterThan" allowBlank="1" showInputMessage="1" showErrorMessage="1" sqref="D26:D27">
      <formula1>0.0001</formula1>
    </dataValidation>
  </dataValidations>
  <hyperlinks>
    <hyperlink ref="G2" location="Contents!A1" display="Return to Main Page"/>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B2:G56"/>
  <sheetViews>
    <sheetView showGridLines="0" showRowColHeaders="0" workbookViewId="0">
      <selection activeCell="E2" sqref="E2"/>
    </sheetView>
  </sheetViews>
  <sheetFormatPr defaultRowHeight="14.5" x14ac:dyDescent="0.35"/>
  <cols>
    <col min="2" max="2" width="38.453125" customWidth="1"/>
    <col min="3" max="3" width="14.26953125" bestFit="1" customWidth="1"/>
    <col min="4" max="4" width="10.6328125" customWidth="1"/>
  </cols>
  <sheetData>
    <row r="2" spans="2:7" ht="18.5" x14ac:dyDescent="0.45">
      <c r="B2" s="4" t="s">
        <v>299</v>
      </c>
      <c r="C2" s="5"/>
      <c r="D2" s="6"/>
      <c r="E2" s="21" t="s">
        <v>211</v>
      </c>
    </row>
    <row r="3" spans="2:7" ht="15.5" x14ac:dyDescent="0.35">
      <c r="B3" s="7" t="s">
        <v>313</v>
      </c>
      <c r="C3" s="5"/>
      <c r="D3" s="6"/>
    </row>
    <row r="4" spans="2:7" ht="15.5" x14ac:dyDescent="0.35">
      <c r="B4" s="7" t="s">
        <v>312</v>
      </c>
      <c r="C4" s="5"/>
      <c r="D4" s="6"/>
    </row>
    <row r="5" spans="2:7" ht="15.5" x14ac:dyDescent="0.35">
      <c r="B5" s="7" t="s">
        <v>311</v>
      </c>
      <c r="C5" s="5"/>
      <c r="D5" s="6"/>
    </row>
    <row r="6" spans="2:7" ht="15.5" x14ac:dyDescent="0.35">
      <c r="B6" s="7"/>
      <c r="C6" s="5"/>
      <c r="D6" s="6"/>
    </row>
    <row r="7" spans="2:7" ht="18.5" x14ac:dyDescent="0.45">
      <c r="B7" s="4" t="s">
        <v>384</v>
      </c>
      <c r="C7" s="5"/>
      <c r="D7" s="6"/>
    </row>
    <row r="8" spans="2:7" ht="15.5" x14ac:dyDescent="0.35">
      <c r="B8" s="7" t="s">
        <v>15</v>
      </c>
      <c r="C8" s="332" t="s">
        <v>360</v>
      </c>
      <c r="D8" s="6"/>
    </row>
    <row r="9" spans="2:7" ht="15.5" x14ac:dyDescent="0.35">
      <c r="B9" s="7" t="s">
        <v>435</v>
      </c>
      <c r="C9" s="474">
        <f>IF(C8="LDC1101",16,8)</f>
        <v>16</v>
      </c>
      <c r="D9" s="6" t="s">
        <v>0</v>
      </c>
    </row>
    <row r="10" spans="2:7" ht="15.5" x14ac:dyDescent="0.35">
      <c r="B10" s="7" t="s">
        <v>17</v>
      </c>
      <c r="C10" s="333">
        <v>16</v>
      </c>
      <c r="D10" s="6" t="s">
        <v>0</v>
      </c>
      <c r="E10" s="76"/>
    </row>
    <row r="11" spans="2:7" hidden="1" x14ac:dyDescent="0.35">
      <c r="B11" s="7"/>
      <c r="C11" s="94">
        <f>C10*1000000</f>
        <v>16000000</v>
      </c>
      <c r="D11" s="97" t="s">
        <v>1</v>
      </c>
      <c r="E11" s="8"/>
      <c r="F11" s="8"/>
      <c r="G11" s="8"/>
    </row>
    <row r="12" spans="2:7" ht="15.5" x14ac:dyDescent="0.35">
      <c r="B12" s="99" t="s">
        <v>300</v>
      </c>
      <c r="C12" s="334">
        <v>10</v>
      </c>
      <c r="D12" s="98" t="s">
        <v>109</v>
      </c>
      <c r="E12" s="8"/>
      <c r="F12" s="8"/>
      <c r="G12" s="8"/>
    </row>
    <row r="13" spans="2:7" ht="15.5" x14ac:dyDescent="0.35">
      <c r="B13" s="100" t="s">
        <v>281</v>
      </c>
      <c r="C13" s="334">
        <v>330</v>
      </c>
      <c r="D13" s="96" t="s">
        <v>27</v>
      </c>
      <c r="E13" s="8"/>
      <c r="F13" s="8"/>
      <c r="G13" s="8"/>
    </row>
    <row r="14" spans="2:7" ht="15.5" x14ac:dyDescent="0.35">
      <c r="B14" s="101" t="s">
        <v>301</v>
      </c>
      <c r="C14" s="58">
        <f>1000/(2*PI()*SQRT(C13*C12))</f>
        <v>2.7705319427199626</v>
      </c>
      <c r="D14" s="96" t="s">
        <v>0</v>
      </c>
      <c r="E14" t="s">
        <v>388</v>
      </c>
      <c r="F14" s="8"/>
      <c r="G14" s="8"/>
    </row>
    <row r="15" spans="2:7" ht="15.5" hidden="1" x14ac:dyDescent="0.35">
      <c r="B15" s="109" t="s">
        <v>436</v>
      </c>
      <c r="C15" s="177">
        <f>IF(C8="LDC1101",10,5)</f>
        <v>10</v>
      </c>
      <c r="D15" s="96" t="s">
        <v>0</v>
      </c>
      <c r="F15" s="8"/>
      <c r="G15" s="8"/>
    </row>
    <row r="16" spans="2:7" ht="29" x14ac:dyDescent="0.35">
      <c r="B16" s="104" t="s">
        <v>302</v>
      </c>
      <c r="C16" s="335">
        <v>2.7</v>
      </c>
      <c r="D16" s="6" t="s">
        <v>0</v>
      </c>
    </row>
    <row r="17" spans="2:5" ht="15.5" x14ac:dyDescent="0.35">
      <c r="B17" s="7" t="s">
        <v>18</v>
      </c>
      <c r="C17" s="332">
        <v>6144</v>
      </c>
      <c r="D17" s="6" t="s">
        <v>179</v>
      </c>
    </row>
    <row r="18" spans="2:5" ht="15.5" x14ac:dyDescent="0.35">
      <c r="B18" s="7" t="s">
        <v>305</v>
      </c>
      <c r="C18" s="106">
        <f>IF((1/C16*C17/3)&gt;3000,0.001/C16*C17/3,1/C16*C17/3)</f>
        <v>758.51851851851859</v>
      </c>
      <c r="D18" s="70" t="str">
        <f>IF((1/C16*C17/3)&gt;3000,"ms","µs")</f>
        <v>µs</v>
      </c>
    </row>
    <row r="19" spans="2:5" ht="15.5" x14ac:dyDescent="0.35">
      <c r="B19" s="7" t="s">
        <v>214</v>
      </c>
      <c r="C19" s="105">
        <f>1000/C18</f>
        <v>1.3183593749999998</v>
      </c>
      <c r="D19" s="70" t="str">
        <f>IF(D18="µs","ksps","sps")</f>
        <v>ksps</v>
      </c>
    </row>
    <row r="20" spans="2:5" ht="15.5" x14ac:dyDescent="0.35">
      <c r="B20" s="7" t="s">
        <v>310</v>
      </c>
      <c r="C20" s="49">
        <f>LOG(C17/3*C10/C16,2)</f>
        <v>13.567040592723895</v>
      </c>
      <c r="D20" s="103" t="s">
        <v>304</v>
      </c>
    </row>
    <row r="23" spans="2:5" ht="18.5" x14ac:dyDescent="0.45">
      <c r="B23" s="102" t="s">
        <v>387</v>
      </c>
    </row>
    <row r="24" spans="2:5" ht="15.5" x14ac:dyDescent="0.35">
      <c r="B24" s="63" t="s">
        <v>306</v>
      </c>
      <c r="C24" s="379" t="s">
        <v>570</v>
      </c>
    </row>
    <row r="25" spans="2:5" ht="15.5" hidden="1" x14ac:dyDescent="0.35">
      <c r="B25" s="63" t="s">
        <v>386</v>
      </c>
      <c r="C25" s="336">
        <f>IF(C24="LDC1101",1,IF(RIGHT(C24,1)="2",2,4))</f>
        <v>4</v>
      </c>
    </row>
    <row r="26" spans="2:5" ht="15.5" x14ac:dyDescent="0.35">
      <c r="B26" s="109" t="s">
        <v>307</v>
      </c>
      <c r="C26" s="332">
        <v>0</v>
      </c>
      <c r="D26" s="6" t="s">
        <v>308</v>
      </c>
    </row>
    <row r="27" spans="2:5" ht="15.5" x14ac:dyDescent="0.35">
      <c r="B27" s="99" t="s">
        <v>300</v>
      </c>
      <c r="C27" s="334">
        <v>10</v>
      </c>
      <c r="D27" s="98" t="s">
        <v>109</v>
      </c>
    </row>
    <row r="28" spans="2:5" ht="15.5" x14ac:dyDescent="0.35">
      <c r="B28" s="100" t="s">
        <v>281</v>
      </c>
      <c r="C28" s="334">
        <v>330</v>
      </c>
      <c r="D28" s="96" t="s">
        <v>27</v>
      </c>
    </row>
    <row r="29" spans="2:5" ht="15.5" x14ac:dyDescent="0.35">
      <c r="B29" s="101" t="s">
        <v>301</v>
      </c>
      <c r="C29" s="58">
        <f>1000/(2*PI()*SQRT(C28*C27))</f>
        <v>2.7705319427199626</v>
      </c>
      <c r="D29" s="96" t="s">
        <v>0</v>
      </c>
    </row>
    <row r="30" spans="2:5" ht="15.5" x14ac:dyDescent="0.35">
      <c r="B30" s="109" t="s">
        <v>438</v>
      </c>
      <c r="C30" s="58">
        <f>INDEX(D44:D48,MATCH(C24,B44:B48,0))</f>
        <v>40</v>
      </c>
      <c r="D30" s="96"/>
    </row>
    <row r="31" spans="2:5" ht="15.5" x14ac:dyDescent="0.35">
      <c r="B31" s="27" t="s">
        <v>19</v>
      </c>
      <c r="C31" s="327">
        <v>40</v>
      </c>
      <c r="D31" s="6" t="s">
        <v>0</v>
      </c>
      <c r="E31" s="76"/>
    </row>
    <row r="32" spans="2:5" ht="15.5" hidden="1" x14ac:dyDescent="0.35">
      <c r="B32" s="107" t="s">
        <v>520</v>
      </c>
      <c r="C32" s="336">
        <f>(2^20)-16</f>
        <v>1048560</v>
      </c>
    </row>
    <row r="33" spans="2:5" ht="15.5" x14ac:dyDescent="0.35">
      <c r="B33" s="159" t="str">
        <f>IF(D33="hex","RCOUNT Setting (range:0x0003 to 0xFFFF)","RCOUNT Setting (range:3 to 65535)")</f>
        <v>RCOUNT Setting (range:3 to 65535)</v>
      </c>
      <c r="C33" s="337">
        <v>4096</v>
      </c>
      <c r="D33" s="338" t="s">
        <v>403</v>
      </c>
    </row>
    <row r="34" spans="2:5" hidden="1" x14ac:dyDescent="0.35">
      <c r="B34" s="159" t="s">
        <v>425</v>
      </c>
      <c r="C34" s="165">
        <f>IF(D33="hex",HEX2DEC(C33),C33)</f>
        <v>4096</v>
      </c>
      <c r="D34" s="6"/>
    </row>
    <row r="35" spans="2:5" ht="15.5" x14ac:dyDescent="0.35">
      <c r="B35" s="107" t="s">
        <v>418</v>
      </c>
      <c r="C35" s="140" t="str">
        <f>IF(AND(C34&lt;65536,C34&gt;2),"0x"&amp;DEC2HEX(C34,4),"INVALID RCOUNT")</f>
        <v>0x1000</v>
      </c>
      <c r="D35" s="96" t="s">
        <v>410</v>
      </c>
    </row>
    <row r="36" spans="2:5" ht="15.5" hidden="1" x14ac:dyDescent="0.35">
      <c r="B36" s="107" t="s">
        <v>233</v>
      </c>
      <c r="C36" s="178">
        <f>C34*16</f>
        <v>65536</v>
      </c>
      <c r="D36" s="96"/>
    </row>
    <row r="37" spans="2:5" ht="15.5" x14ac:dyDescent="0.35">
      <c r="B37" s="159" t="str">
        <f>IF(D37="hex","Settle Count (range:0x0001 to 0xFFFF)","Settle Count (range:1 to 65535)")</f>
        <v>Settle Count (range:1 to 65535)</v>
      </c>
      <c r="C37" s="337">
        <v>25</v>
      </c>
      <c r="D37" s="338" t="s">
        <v>403</v>
      </c>
      <c r="E37" s="21" t="s">
        <v>746</v>
      </c>
    </row>
    <row r="38" spans="2:5" ht="15.5" hidden="1" x14ac:dyDescent="0.35">
      <c r="B38" s="159" t="s">
        <v>437</v>
      </c>
      <c r="C38" s="329">
        <f>IF(D37="hex",HEX2DEC(C37),C37)</f>
        <v>25</v>
      </c>
      <c r="D38" s="6"/>
    </row>
    <row r="39" spans="2:5" ht="15.5" x14ac:dyDescent="0.35">
      <c r="B39" s="27" t="s">
        <v>303</v>
      </c>
      <c r="C39" s="332">
        <v>2</v>
      </c>
      <c r="D39" s="6"/>
    </row>
    <row r="40" spans="2:5" ht="15" hidden="1" customHeight="1" x14ac:dyDescent="0.35">
      <c r="B40" s="107" t="s">
        <v>411</v>
      </c>
      <c r="C40" s="108">
        <f>IF(C24="LDC1101",55,IF(C39=1,0,38))</f>
        <v>38</v>
      </c>
      <c r="D40" s="6"/>
    </row>
    <row r="41" spans="2:5" ht="15.5" hidden="1" x14ac:dyDescent="0.35">
      <c r="B41" s="107" t="s">
        <v>305</v>
      </c>
      <c r="C41" s="108">
        <f>(C36+C40)/C31</f>
        <v>1639.35</v>
      </c>
      <c r="D41" s="22" t="s">
        <v>235</v>
      </c>
    </row>
    <row r="42" spans="2:5" ht="15.5" hidden="1" x14ac:dyDescent="0.35">
      <c r="B42" s="107"/>
      <c r="C42" s="372"/>
      <c r="D42" s="22"/>
    </row>
    <row r="43" spans="2:5" ht="15.5" hidden="1" x14ac:dyDescent="0.35">
      <c r="B43" s="375" t="s">
        <v>253</v>
      </c>
      <c r="C43" s="376" t="s">
        <v>569</v>
      </c>
      <c r="D43" s="377" t="s">
        <v>573</v>
      </c>
      <c r="E43" s="381" t="s">
        <v>574</v>
      </c>
    </row>
    <row r="44" spans="2:5" ht="15.5" hidden="1" x14ac:dyDescent="0.35">
      <c r="B44" s="374" t="s">
        <v>309</v>
      </c>
      <c r="C44" s="427">
        <f>IF(C39=1,400000/30,400000/(C39*49))</f>
        <v>4081.6326530612246</v>
      </c>
      <c r="D44" s="378">
        <v>40</v>
      </c>
      <c r="E44" s="134">
        <v>2</v>
      </c>
    </row>
    <row r="45" spans="2:5" ht="15.5" hidden="1" x14ac:dyDescent="0.35">
      <c r="B45" s="374" t="s">
        <v>567</v>
      </c>
      <c r="C45" s="427">
        <f>IF(C39=1,400000/30,400000/(C39*49))</f>
        <v>4081.6326530612246</v>
      </c>
      <c r="D45" s="378">
        <v>40</v>
      </c>
      <c r="E45" s="134">
        <v>4</v>
      </c>
    </row>
    <row r="46" spans="2:5" ht="15.5" hidden="1" x14ac:dyDescent="0.35">
      <c r="B46" s="374" t="s">
        <v>568</v>
      </c>
      <c r="C46" s="427">
        <f>400000/(2*C39*49)</f>
        <v>2040.8163265306123</v>
      </c>
      <c r="D46" s="378">
        <v>40</v>
      </c>
      <c r="E46" s="134">
        <v>2</v>
      </c>
    </row>
    <row r="47" spans="2:5" ht="15.5" hidden="1" x14ac:dyDescent="0.35">
      <c r="B47" s="374" t="s">
        <v>570</v>
      </c>
      <c r="C47" s="427">
        <f>400000/(2*C39*49)</f>
        <v>2040.8163265306123</v>
      </c>
      <c r="D47" s="378">
        <v>40</v>
      </c>
      <c r="E47" s="134">
        <v>4</v>
      </c>
    </row>
    <row r="48" spans="2:5" ht="15.5" hidden="1" x14ac:dyDescent="0.35">
      <c r="B48" s="380" t="s">
        <v>360</v>
      </c>
      <c r="C48" s="427">
        <f>8000000/(3*9)</f>
        <v>296296.29629629629</v>
      </c>
      <c r="D48" s="378">
        <v>16</v>
      </c>
      <c r="E48" s="134">
        <v>1</v>
      </c>
    </row>
    <row r="49" spans="2:5" ht="15.5" hidden="1" x14ac:dyDescent="0.35">
      <c r="B49" s="107" t="s">
        <v>637</v>
      </c>
      <c r="C49" s="428">
        <f>INDEX(C44:C48,MATCH(C24,B44:B48,0))</f>
        <v>2040.8163265306123</v>
      </c>
      <c r="D49" s="22" t="s">
        <v>468</v>
      </c>
    </row>
    <row r="50" spans="2:5" ht="15.5" hidden="1" x14ac:dyDescent="0.35">
      <c r="B50" s="107" t="s">
        <v>571</v>
      </c>
      <c r="C50" s="373">
        <f>1000000/C49</f>
        <v>490</v>
      </c>
      <c r="D50" s="22" t="s">
        <v>235</v>
      </c>
    </row>
    <row r="51" spans="2:5" ht="15.5" x14ac:dyDescent="0.35">
      <c r="B51" s="27" t="s">
        <v>638</v>
      </c>
      <c r="C51" s="105">
        <f>IF(C41&gt;1000,C41/1000,C41)</f>
        <v>1.6393499999999999</v>
      </c>
      <c r="D51" s="69" t="str">
        <f>IF(C41&gt;1000,"ms","µs")</f>
        <v>ms</v>
      </c>
    </row>
    <row r="52" spans="2:5" ht="15.5" x14ac:dyDescent="0.35">
      <c r="B52" s="27" t="s">
        <v>214</v>
      </c>
      <c r="C52" s="105">
        <f>1000/C51</f>
        <v>609.99786500747257</v>
      </c>
      <c r="D52" s="70" t="str">
        <f>IF(D51="µs","ksps per channel","sps per chan")</f>
        <v>sps per chan</v>
      </c>
      <c r="E52" s="76" t="str">
        <f>IF(C41&lt;C50," Sample rate exceeds device I/O limit of "&amp;ROUND(C49/1000,3)&amp;"ksps","")</f>
        <v/>
      </c>
    </row>
    <row r="53" spans="2:5" ht="15.5" hidden="1" x14ac:dyDescent="0.35">
      <c r="B53" s="27" t="s">
        <v>519</v>
      </c>
      <c r="C53" s="49">
        <f>IF(LEFT(C24,6)="LDC131",MIN(LOG(2*4*C36,2),12+C26),LOG(2*2*C36,2))</f>
        <v>18</v>
      </c>
      <c r="D53" s="6" t="s">
        <v>304</v>
      </c>
    </row>
    <row r="54" spans="2:5" x14ac:dyDescent="0.35">
      <c r="B54" s="7"/>
    </row>
    <row r="56" spans="2:5" x14ac:dyDescent="0.35">
      <c r="C56" s="485"/>
    </row>
  </sheetData>
  <sheetProtection sheet="1" objects="1" scenarios="1"/>
  <conditionalFormatting sqref="C39">
    <cfRule type="cellIs" dxfId="5" priority="1" operator="greaterThan">
      <formula>$C$25</formula>
    </cfRule>
  </conditionalFormatting>
  <dataValidations count="15">
    <dataValidation type="decimal" errorStyle="warning" allowBlank="1" showInputMessage="1" showErrorMessage="1" errorTitle="Exceeds Maximum fReference" error="This input exceeds the LDC maximum reference frequency." sqref="C10">
      <formula1>0.001</formula1>
      <formula2>C9</formula2>
    </dataValidation>
    <dataValidation type="decimal" errorStyle="warning" allowBlank="1" showInputMessage="1" showErrorMessage="1" errorTitle="Sensor Frequency out of range" error="The LDC1000/1041/1051 sensor range is limited to the range of 5kHz to 5MHz." sqref="C16">
      <formula1>0.005</formula1>
      <formula2>C15</formula2>
    </dataValidation>
    <dataValidation type="list" errorStyle="warning" allowBlank="1" showInputMessage="1" showErrorMessage="1" sqref="C17">
      <formula1>"192,384,768,1536,3072,6144"</formula1>
    </dataValidation>
    <dataValidation type="decimal" errorStyle="warning" allowBlank="1" showInputMessage="1" showErrorMessage="1" errorTitle="Possible Invalid Reference Freq" error="The Reference Frequency must be greater than the Sensor frequency and also must not exceed the LDC maximum reference frequency." sqref="C31">
      <formula1>1</formula1>
      <formula2>C30</formula2>
    </dataValidation>
    <dataValidation type="whole" allowBlank="1" showInputMessage="1" showErrorMessage="1" errorTitle="Invalid Number of Channels" error="LDC1312 &amp; LDC1612 maximum setting is 2 channels. _x000a_LDC1314 &amp; LDC1614 maximum setting is 4 channels." sqref="C39">
      <formula1>1</formula1>
      <formula2>C25</formula2>
    </dataValidation>
    <dataValidation type="list" allowBlank="1" showInputMessage="1" showErrorMessage="1" sqref="C26">
      <formula1>"0,2,3,4"</formula1>
    </dataValidation>
    <dataValidation type="whole" errorStyle="warning" allowBlank="1" showInputMessage="1" showErrorMessage="1" errorTitle="Invalid Reference Count" error="The LDC131x/161x minimum reference count is 48 and the maximum reference count is 1048560." sqref="C35">
      <formula1>64</formula1>
      <formula2>65535*16</formula2>
    </dataValidation>
    <dataValidation type="whole" errorStyle="warning" allowBlank="1" showInputMessage="1" showErrorMessage="1" errorTitle="Invalid Reference Count" error="The LDC131x/161x minimum reference count is 48 and the maximum reference count is 1048560." sqref="C32">
      <formula1>48</formula1>
      <formula2>65535*16</formula2>
    </dataValidation>
    <dataValidation type="list" allowBlank="1" showInputMessage="1" showErrorMessage="1" sqref="C8">
      <formula1>"LDC1101,LDC1000/41/51"</formula1>
    </dataValidation>
    <dataValidation type="list" allowBlank="1" showInputMessage="1" showErrorMessage="1" sqref="D33 D37">
      <formula1>"hex,decimal"</formula1>
    </dataValidation>
    <dataValidation type="decimal" allowBlank="1" showInputMessage="1" showErrorMessage="1" sqref="C34 C38">
      <formula1>48</formula1>
      <formula2>1048560</formula2>
    </dataValidation>
    <dataValidation allowBlank="1" showInputMessage="1" showErrorMessage="1" errorTitle="Invalid RCount" error="Rcount is restricted to the range of 3 to 65535 (0x0003 to 0xFFFF)." sqref="C33 C37"/>
    <dataValidation errorStyle="warning" allowBlank="1" showInputMessage="1" showErrorMessage="1" errorTitle="Invalid Reference Count" error="The LDC131x/161x minimum reference count is 48 and the maximum reference count is 1048560." sqref="C36"/>
    <dataValidation type="list" allowBlank="1" showInputMessage="1" showErrorMessage="1" sqref="C24">
      <formula1>$B$44:$B$48</formula1>
    </dataValidation>
    <dataValidation allowBlank="1" showInputMessage="1" showErrorMessage="1" errorTitle="Invalid Number of Channels" error="LDC1312 &amp; LDC1612 maximum setting is 2 channels. _x000a_LDC1314 &amp; LDC1614 maximum setting is 4 channels." sqref="C40:C50"/>
  </dataValidations>
  <hyperlinks>
    <hyperlink ref="E2" location="Contents!A1" display="Return to Main Page"/>
    <hyperlink ref="E37" location="'LDC13-16_SensorSetup'!A1" display="Goto Sensor Setup Tool to calculat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F31"/>
  <sheetViews>
    <sheetView showGridLines="0" showRowColHeaders="0" workbookViewId="0">
      <selection activeCell="J17" sqref="J17"/>
    </sheetView>
  </sheetViews>
  <sheetFormatPr defaultRowHeight="14.5" x14ac:dyDescent="0.35"/>
  <cols>
    <col min="1" max="2" width="5.7265625" customWidth="1"/>
    <col min="3" max="3" width="46.7265625" customWidth="1"/>
    <col min="4" max="4" width="12.54296875" customWidth="1"/>
    <col min="5" max="5" width="7.81640625" customWidth="1"/>
    <col min="6" max="6" width="12" bestFit="1" customWidth="1"/>
  </cols>
  <sheetData>
    <row r="2" spans="2:6" ht="18.5" x14ac:dyDescent="0.45">
      <c r="B2" s="4" t="s">
        <v>433</v>
      </c>
      <c r="C2" s="4"/>
      <c r="E2" s="21" t="s">
        <v>211</v>
      </c>
    </row>
    <row r="3" spans="2:6" ht="18.5" x14ac:dyDescent="0.45">
      <c r="B3" s="4"/>
      <c r="C3" s="7" t="s">
        <v>440</v>
      </c>
      <c r="E3" s="21"/>
    </row>
    <row r="4" spans="2:6" ht="18.5" x14ac:dyDescent="0.45">
      <c r="B4" s="4"/>
      <c r="C4" s="4"/>
      <c r="E4" s="21"/>
    </row>
    <row r="5" spans="2:6" ht="15.5" x14ac:dyDescent="0.35">
      <c r="B5" s="10"/>
      <c r="C5" s="10" t="s">
        <v>263</v>
      </c>
      <c r="D5" s="63"/>
      <c r="E5" s="59"/>
    </row>
    <row r="6" spans="2:6" ht="15.5" x14ac:dyDescent="0.35">
      <c r="B6" s="10"/>
      <c r="C6" s="10" t="s">
        <v>424</v>
      </c>
      <c r="D6" s="63"/>
      <c r="E6" s="59"/>
    </row>
    <row r="7" spans="2:6" ht="15.5" x14ac:dyDescent="0.35">
      <c r="B7" s="10"/>
      <c r="C7" s="10"/>
      <c r="D7" s="63"/>
      <c r="E7" s="59"/>
    </row>
    <row r="8" spans="2:6" ht="16.5" x14ac:dyDescent="0.45">
      <c r="B8" s="10"/>
      <c r="C8" s="12" t="s">
        <v>434</v>
      </c>
      <c r="D8" s="327">
        <v>40</v>
      </c>
      <c r="E8" s="6" t="s">
        <v>0</v>
      </c>
    </row>
    <row r="9" spans="2:6" ht="15.5" x14ac:dyDescent="0.35">
      <c r="B9" s="10"/>
      <c r="C9" s="159" t="str">
        <f>IF(E9="hex","RCOUNT Setting (range:0x0003 to 0xFFFF)","RCOUNT Setting (range:48 to 1048560)")</f>
        <v>RCOUNT Setting (range:48 to 1048560)</v>
      </c>
      <c r="D9" s="328">
        <v>4096</v>
      </c>
      <c r="E9" s="166" t="s">
        <v>403</v>
      </c>
    </row>
    <row r="10" spans="2:6" ht="15.5" hidden="1" x14ac:dyDescent="0.35">
      <c r="B10" s="10"/>
      <c r="C10" s="159" t="s">
        <v>425</v>
      </c>
      <c r="D10" s="329">
        <f>IF(E9="hex",HEX2DEC(D9),D9)</f>
        <v>4096</v>
      </c>
      <c r="E10" s="6"/>
    </row>
    <row r="11" spans="2:6" ht="15.5" x14ac:dyDescent="0.35">
      <c r="B11" s="10"/>
      <c r="C11" s="159" t="s">
        <v>426</v>
      </c>
      <c r="D11" s="51">
        <f>D8*1000/(D13*(D10+D24))</f>
        <v>9.1575091575091569</v>
      </c>
      <c r="E11" s="6" t="s">
        <v>427</v>
      </c>
      <c r="F11" s="95"/>
    </row>
    <row r="12" spans="2:6" ht="15.5" x14ac:dyDescent="0.35">
      <c r="B12" s="10"/>
      <c r="C12" s="159" t="s">
        <v>430</v>
      </c>
      <c r="D12" s="51">
        <f>D29</f>
        <v>0.10880884901332318</v>
      </c>
      <c r="E12" s="6" t="s">
        <v>242</v>
      </c>
      <c r="F12" s="95"/>
    </row>
    <row r="13" spans="2:6" ht="15.5" x14ac:dyDescent="0.35">
      <c r="B13" s="10"/>
      <c r="C13" s="159" t="s">
        <v>223</v>
      </c>
      <c r="D13" s="328">
        <v>1</v>
      </c>
      <c r="E13" s="6"/>
    </row>
    <row r="14" spans="2:6" ht="15.5" x14ac:dyDescent="0.35">
      <c r="B14" s="10"/>
      <c r="C14" s="159" t="s">
        <v>300</v>
      </c>
      <c r="D14" s="330">
        <v>5</v>
      </c>
      <c r="E14" s="22" t="s">
        <v>109</v>
      </c>
    </row>
    <row r="15" spans="2:6" ht="15.5" x14ac:dyDescent="0.35">
      <c r="B15" s="10"/>
      <c r="C15" s="159" t="s">
        <v>281</v>
      </c>
      <c r="D15" s="328">
        <v>510</v>
      </c>
      <c r="E15" s="22" t="s">
        <v>27</v>
      </c>
    </row>
    <row r="16" spans="2:6" ht="15.5" x14ac:dyDescent="0.35">
      <c r="B16" s="10"/>
      <c r="C16" s="159" t="str">
        <f>IF(D16&lt;10,"Sensor Frequency","Sensor Frequency Exceeds Spec!!!")</f>
        <v>Sensor Frequency</v>
      </c>
      <c r="D16" s="169">
        <f>1000/(2*PI()*SQRT(D15*D14))</f>
        <v>3.1517375171006519</v>
      </c>
      <c r="E16" s="6" t="s">
        <v>0</v>
      </c>
    </row>
    <row r="17" spans="2:6" ht="15.5" x14ac:dyDescent="0.35">
      <c r="B17" s="10"/>
      <c r="C17" s="326" t="s">
        <v>256</v>
      </c>
      <c r="D17" s="331">
        <v>2</v>
      </c>
      <c r="E17" s="168" t="str">
        <f>IF(C17="Sensor Q","","kΩ")</f>
        <v>kΩ</v>
      </c>
    </row>
    <row r="18" spans="2:6" ht="15.5" x14ac:dyDescent="0.35">
      <c r="B18" s="10"/>
      <c r="C18" s="159" t="str">
        <f>IF(C17="Sensor Q","Sensor RP","Sensor Q")</f>
        <v>Sensor Q</v>
      </c>
      <c r="D18" s="169">
        <f>IF(C18="Sensor Q",D17*SQRT(D15/D14),D17*SQRT(D14/D15))</f>
        <v>20.199009876724155</v>
      </c>
      <c r="E18" s="167" t="str">
        <f>IF(C18="Sensor Q","","kΩ")</f>
        <v/>
      </c>
    </row>
    <row r="19" spans="2:6" ht="15.5" x14ac:dyDescent="0.35">
      <c r="B19" s="10"/>
      <c r="C19" s="159" t="s">
        <v>428</v>
      </c>
      <c r="D19" s="328">
        <v>1.8</v>
      </c>
      <c r="E19" s="6" t="s">
        <v>420</v>
      </c>
      <c r="F19" t="s">
        <v>432</v>
      </c>
    </row>
    <row r="20" spans="2:6" ht="15.5" x14ac:dyDescent="0.35">
      <c r="B20" s="10"/>
      <c r="C20" s="159" t="s">
        <v>421</v>
      </c>
      <c r="D20" s="328">
        <v>25</v>
      </c>
      <c r="E20" s="6" t="s">
        <v>422</v>
      </c>
    </row>
    <row r="21" spans="2:6" ht="15.5" hidden="1" x14ac:dyDescent="0.35">
      <c r="B21" s="10"/>
      <c r="C21" s="64" t="s">
        <v>256</v>
      </c>
      <c r="D21" s="179">
        <f>IF(C18="Sensor RP",D18,D17)</f>
        <v>2</v>
      </c>
      <c r="E21" s="6" t="s">
        <v>257</v>
      </c>
    </row>
    <row r="22" spans="2:6" ht="14.25" hidden="1" customHeight="1" x14ac:dyDescent="0.35">
      <c r="B22" s="10"/>
      <c r="C22" s="64" t="s">
        <v>429</v>
      </c>
      <c r="D22" s="179">
        <f>IF(C18="Sensor Q",D18,D17)</f>
        <v>20.199009876724155</v>
      </c>
    </row>
    <row r="23" spans="2:6" ht="15.5" hidden="1" x14ac:dyDescent="0.35">
      <c r="B23" s="10"/>
      <c r="C23" s="64" t="s">
        <v>267</v>
      </c>
      <c r="D23" s="180">
        <f>D22*D8/D16</f>
        <v>256.35396053292709</v>
      </c>
    </row>
    <row r="24" spans="2:6" ht="15.5" hidden="1" x14ac:dyDescent="0.35">
      <c r="B24" s="10"/>
      <c r="C24" s="159" t="s">
        <v>292</v>
      </c>
      <c r="D24" s="171">
        <f>16*CEILING(D23/16,1)</f>
        <v>272</v>
      </c>
      <c r="E24" s="125"/>
      <c r="F24" s="27"/>
    </row>
    <row r="25" spans="2:6" ht="15.5" x14ac:dyDescent="0.35">
      <c r="B25" s="10"/>
      <c r="C25" s="159" t="s">
        <v>441</v>
      </c>
      <c r="D25" s="170" t="str">
        <f>"0x"&amp;(DEC2HEX(D24/16,4))</f>
        <v>0x0011</v>
      </c>
      <c r="E25" s="132" t="s">
        <v>361</v>
      </c>
      <c r="F25" s="27"/>
    </row>
    <row r="26" spans="2:6" ht="15.5" hidden="1" x14ac:dyDescent="0.35">
      <c r="B26" s="10"/>
      <c r="C26" s="159" t="s">
        <v>264</v>
      </c>
      <c r="D26" s="173">
        <f>D24/D8</f>
        <v>6.8</v>
      </c>
      <c r="E26" s="20" t="s">
        <v>235</v>
      </c>
    </row>
    <row r="27" spans="2:6" ht="15.5" hidden="1" x14ac:dyDescent="0.35">
      <c r="B27" s="60"/>
      <c r="C27" s="12" t="s">
        <v>250</v>
      </c>
      <c r="D27" s="174">
        <v>0.3</v>
      </c>
      <c r="E27" t="s">
        <v>242</v>
      </c>
    </row>
    <row r="28" spans="2:6" ht="15.5" hidden="1" x14ac:dyDescent="0.35">
      <c r="B28" s="18"/>
      <c r="C28" s="12" t="s">
        <v>251</v>
      </c>
      <c r="D28" s="175">
        <v>0.04</v>
      </c>
      <c r="E28" t="s">
        <v>242</v>
      </c>
    </row>
    <row r="29" spans="2:6" ht="15.5" hidden="1" x14ac:dyDescent="0.35">
      <c r="B29" s="13"/>
      <c r="C29" s="12" t="s">
        <v>255</v>
      </c>
      <c r="D29" s="176">
        <f>0.001*(D23+D9)/D8</f>
        <v>0.10880884901332318</v>
      </c>
      <c r="E29" t="s">
        <v>242</v>
      </c>
    </row>
    <row r="30" spans="2:6" ht="15.5" hidden="1" x14ac:dyDescent="0.35">
      <c r="B30" s="13"/>
      <c r="C30" t="s">
        <v>259</v>
      </c>
      <c r="D30" s="174">
        <f>PI()*(1.160155^D20)/200</f>
        <v>0.64419934512167676</v>
      </c>
      <c r="E30" t="s">
        <v>258</v>
      </c>
    </row>
    <row r="31" spans="2:6" ht="20.25" customHeight="1" x14ac:dyDescent="0.35">
      <c r="C31" s="130" t="s">
        <v>431</v>
      </c>
      <c r="D31" s="172">
        <f>4*D21*D30/PI()</f>
        <v>1.6404401618028275</v>
      </c>
      <c r="E31" s="22" t="s">
        <v>423</v>
      </c>
      <c r="F31" s="95"/>
    </row>
  </sheetData>
  <sheetProtection sheet="1" objects="1" scenarios="1"/>
  <conditionalFormatting sqref="E11:E12">
    <cfRule type="expression" dxfId="4" priority="18">
      <formula>#REF!&lt;0</formula>
    </cfRule>
  </conditionalFormatting>
  <dataValidations count="14">
    <dataValidation type="decimal" errorStyle="information" allowBlank="1" showInputMessage="1" showErrorMessage="1" errorTitle="Sensor Current Drive" error="The FDC sensor current drive setting should be between 0 and 31." sqref="D20">
      <formula1>0</formula1>
      <formula2>31</formula2>
    </dataValidation>
    <dataValidation type="whole" errorStyle="warning" allowBlank="1" showInputMessage="1" showErrorMessage="1" errorTitle="Invalid Reference Frequency" error="The Reference frequency must be greater than the sensor frequency and not greater than 40MHz." sqref="D8">
      <formula1>D16</formula1>
      <formula2>40</formula2>
    </dataValidation>
    <dataValidation errorStyle="warning" allowBlank="1" showInputMessage="1" showErrorMessage="1" errorTitle="Invalid I2C datarate" error="The LDC can support a datarate of up to 400kbit/s." sqref="D21:D26"/>
    <dataValidation type="list" errorStyle="warning" allowBlank="1" showInputMessage="1" showErrorMessage="1" errorTitle="Sample Rate out of bounds" error="The sample rate is either extremely low - use the shutdown mode, or the sample rate needed cannot use the low power modes." sqref="D13">
      <formula1>"1,2,3,4"</formula1>
    </dataValidation>
    <dataValidation type="decimal" errorStyle="information" allowBlank="1" showInputMessage="1" showErrorMessage="1" errorTitle="Sample Rate out of bounds" error="The sample rate is either extremely low - use the shutdown mode, or the sample rate needed cannot use the low power modes." sqref="D11:D12">
      <formula1>0.1</formula1>
      <formula2>800</formula2>
    </dataValidation>
    <dataValidation type="decimal" errorStyle="warning" allowBlank="1" showInputMessage="1" showErrorMessage="1" errorTitle="Invalid Sensor Frequency" error="The LDC is limited to sensor frequencies of 10kHz to 10MHz." sqref="D16">
      <formula1>0.01</formula1>
      <formula2>10</formula2>
    </dataValidation>
    <dataValidation errorStyle="information" allowBlank="1" showInputMessage="1" showErrorMessage="1" errorTitle="Sensor Amplitude" error="The sensor amplitude should be between 0.1V and 1.8V." sqref="D19"/>
    <dataValidation type="decimal" allowBlank="1" showInputMessage="1" showErrorMessage="1" sqref="D10">
      <formula1>48</formula1>
      <formula2>1048560</formula2>
    </dataValidation>
    <dataValidation type="decimal" errorStyle="warning" allowBlank="1" showInputMessage="1" showErrorMessage="1" errorTitle="Sample Rate out of bounds" error="The sample rate is either extremely low - use the shutdown mode, or the sample rate needed cannot use the low power modes." sqref="D14:D15">
      <formula1>0</formula1>
      <formula2>100000</formula2>
    </dataValidation>
    <dataValidation type="list" allowBlank="1" showInputMessage="1" showErrorMessage="1" sqref="E9">
      <formula1>"hex,decimal"</formula1>
    </dataValidation>
    <dataValidation errorStyle="warning" allowBlank="1" showInputMessage="1" showErrorMessage="1" errorTitle="Invalid Sensor Frequency" error="The LDC is limited to sensor frequencies of 10kHz to 10MHz." sqref="D18"/>
    <dataValidation type="decimal" errorStyle="warning" allowBlank="1" showInputMessage="1" showErrorMessage="1" errorTitle="Invalid Sensor Frequency" error="The LDC is limited to sensor frequencies of 10kHz to 10MHz." sqref="D17">
      <formula1>0.5</formula1>
      <formula2>1000000</formula2>
    </dataValidation>
    <dataValidation type="list" allowBlank="1" showInputMessage="1" showErrorMessage="1" sqref="C17">
      <formula1>"Sensor Q,Sensor RP"</formula1>
    </dataValidation>
    <dataValidation type="decimal" allowBlank="1" showInputMessage="1" showErrorMessage="1" errorTitle="Invalid RCOUNT setting" error="Rcount is restricted to the range 3 to 65535 (0x0003 to 0xFFFF)" sqref="D9">
      <formula1>3</formula1>
      <formula2>65535</formula2>
    </dataValidation>
  </dataValidations>
  <hyperlinks>
    <hyperlink ref="E2" location="Contents!A1" display="Return to Main Page"/>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28</vt:i4>
      </vt:variant>
    </vt:vector>
  </HeadingPairs>
  <TitlesOfParts>
    <vt:vector size="41" baseType="lpstr">
      <vt:lpstr>Contents</vt:lpstr>
      <vt:lpstr>Spiral_Inductor_Designer</vt:lpstr>
      <vt:lpstr>LDC2114_Config_tool</vt:lpstr>
      <vt:lpstr>LDC0851_calc</vt:lpstr>
      <vt:lpstr>LDC1101_Calc</vt:lpstr>
      <vt:lpstr>Output Code Calculator</vt:lpstr>
      <vt:lpstr>SkinDepth</vt:lpstr>
      <vt:lpstr>SampleRateCalc</vt:lpstr>
      <vt:lpstr>LDC13-16_SensorSetup</vt:lpstr>
      <vt:lpstr>LDC131x_Current</vt:lpstr>
      <vt:lpstr>Spring Sensor</vt:lpstr>
      <vt:lpstr>Remote Coil Length</vt:lpstr>
      <vt:lpstr>Metal_Deflection</vt:lpstr>
      <vt:lpstr>Metal_Deflection!abr_units</vt:lpstr>
      <vt:lpstr>Metal_Deflection!ac</vt:lpstr>
      <vt:lpstr>Metal_Deflection!alphap</vt:lpstr>
      <vt:lpstr>Metal_Deflection!alphau</vt:lpstr>
      <vt:lpstr>Metal_Deflection!ar</vt:lpstr>
      <vt:lpstr>Metal_Deflection!area</vt:lpstr>
      <vt:lpstr>Metal_Deflection!area_c</vt:lpstr>
      <vt:lpstr>Metal_Deflection!area_r</vt:lpstr>
      <vt:lpstr>Metal_Deflection!boa</vt:lpstr>
      <vt:lpstr>Metal_Deflection!br</vt:lpstr>
      <vt:lpstr>Metal_Deflection!D</vt:lpstr>
      <vt:lpstr>Metal_Deflection!Dc_units</vt:lpstr>
      <vt:lpstr>Metal_Deflection!E</vt:lpstr>
      <vt:lpstr>Metal_Deflection!F</vt:lpstr>
      <vt:lpstr>Metal_Deflection!force</vt:lpstr>
      <vt:lpstr>Metal_Deflection!h</vt:lpstr>
      <vt:lpstr>Metal_Deflection!h_units</vt:lpstr>
      <vt:lpstr>Metal_Deflection!mat</vt:lpstr>
      <vt:lpstr>LDC1101_Calc!Mega</vt:lpstr>
      <vt:lpstr>LDC1101_Calc!micro</vt:lpstr>
      <vt:lpstr>Metal_Deflection!nu</vt:lpstr>
      <vt:lpstr>LDC1101_Calc!pico</vt:lpstr>
      <vt:lpstr>Metal_Deflection!q</vt:lpstr>
      <vt:lpstr>Metal_Deflection!shape</vt:lpstr>
      <vt:lpstr>Metal_Deflection!wpkcp</vt:lpstr>
      <vt:lpstr>Metal_Deflection!wpkcu</vt:lpstr>
      <vt:lpstr>Metal_Deflection!wpkrp</vt:lpstr>
      <vt:lpstr>Metal_Deflection!wpkru</vt:lpstr>
    </vt:vector>
  </TitlesOfParts>
  <Company>Texas Instruments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Oberhauser</dc:creator>
  <cp:lastModifiedBy>Chris Oberhauser</cp:lastModifiedBy>
  <dcterms:created xsi:type="dcterms:W3CDTF">2014-10-17T20:34:02Z</dcterms:created>
  <dcterms:modified xsi:type="dcterms:W3CDTF">2016-12-21T00:04:28Z</dcterms:modified>
</cp:coreProperties>
</file>